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" windowWidth="11340" windowHeight="6795"/>
  </bookViews>
  <sheets>
    <sheet name="0503117 Отчет об исп" sheetId="1" r:id="rId1"/>
  </sheets>
  <calcPr calcId="144525"/>
</workbook>
</file>

<file path=xl/calcChain.xml><?xml version="1.0" encoding="utf-8"?>
<calcChain xmlns="http://schemas.openxmlformats.org/spreadsheetml/2006/main">
  <c r="P12" i="1" l="1"/>
  <c r="S12" i="1"/>
  <c r="X12" i="1"/>
  <c r="P13" i="1"/>
  <c r="S13" i="1"/>
  <c r="X13" i="1"/>
  <c r="P14" i="1"/>
  <c r="S14" i="1"/>
  <c r="X14" i="1"/>
  <c r="P15" i="1"/>
  <c r="S15" i="1"/>
  <c r="X15" i="1"/>
  <c r="P16" i="1"/>
  <c r="S16" i="1"/>
  <c r="P17" i="1"/>
  <c r="S17" i="1"/>
  <c r="X17" i="1"/>
  <c r="P18" i="1"/>
  <c r="S18" i="1"/>
  <c r="X18" i="1"/>
  <c r="P19" i="1"/>
  <c r="S19" i="1"/>
  <c r="P20" i="1"/>
  <c r="S20" i="1"/>
  <c r="X20" i="1"/>
  <c r="P21" i="1"/>
  <c r="S21" i="1"/>
  <c r="X21" i="1"/>
  <c r="P22" i="1"/>
  <c r="S22" i="1"/>
  <c r="X22" i="1"/>
  <c r="S23" i="1"/>
  <c r="P24" i="1"/>
  <c r="S24" i="1"/>
  <c r="X24" i="1"/>
  <c r="P25" i="1"/>
  <c r="S25" i="1"/>
  <c r="X25" i="1"/>
  <c r="P26" i="1"/>
  <c r="S26" i="1"/>
  <c r="X26" i="1"/>
  <c r="P27" i="1"/>
  <c r="S27" i="1"/>
  <c r="X27" i="1"/>
  <c r="P28" i="1"/>
  <c r="X28" i="1"/>
  <c r="P29" i="1"/>
  <c r="S29" i="1"/>
  <c r="X29" i="1"/>
  <c r="P30" i="1"/>
  <c r="S30" i="1"/>
  <c r="X30" i="1"/>
  <c r="S31" i="1"/>
  <c r="P32" i="1"/>
  <c r="X32" i="1"/>
  <c r="P33" i="1"/>
  <c r="S33" i="1"/>
  <c r="X33" i="1"/>
  <c r="P34" i="1"/>
  <c r="X34" i="1"/>
  <c r="P35" i="1"/>
  <c r="X35" i="1"/>
  <c r="P36" i="1"/>
  <c r="S36" i="1"/>
  <c r="X36" i="1"/>
  <c r="P37" i="1"/>
  <c r="S37" i="1"/>
  <c r="X37" i="1"/>
  <c r="P38" i="1"/>
  <c r="S38" i="1"/>
  <c r="X38" i="1"/>
  <c r="S39" i="1"/>
  <c r="Q44" i="1"/>
  <c r="T44" i="1"/>
  <c r="Y44" i="1"/>
  <c r="Q45" i="1"/>
  <c r="T45" i="1"/>
  <c r="Y45" i="1"/>
  <c r="Q46" i="1"/>
  <c r="T46" i="1"/>
  <c r="Y46" i="1"/>
  <c r="Q47" i="1"/>
  <c r="T47" i="1"/>
  <c r="Y47" i="1"/>
  <c r="Q48" i="1"/>
  <c r="T48" i="1"/>
  <c r="Y48" i="1"/>
  <c r="Q49" i="1"/>
  <c r="T49" i="1"/>
  <c r="Y49" i="1"/>
  <c r="Q50" i="1"/>
  <c r="Y50" i="1"/>
  <c r="Q51" i="1"/>
  <c r="T51" i="1"/>
  <c r="Y51" i="1"/>
  <c r="Q52" i="1"/>
  <c r="T52" i="1"/>
  <c r="Y52" i="1"/>
  <c r="Q53" i="1"/>
  <c r="T53" i="1"/>
  <c r="Y53" i="1"/>
  <c r="Q54" i="1"/>
  <c r="Y54" i="1"/>
  <c r="Q55" i="1"/>
  <c r="Y55" i="1"/>
  <c r="Q56" i="1"/>
  <c r="T56" i="1"/>
  <c r="Y56" i="1"/>
  <c r="Q57" i="1"/>
  <c r="T57" i="1"/>
  <c r="Y57" i="1"/>
  <c r="Q58" i="1"/>
  <c r="T58" i="1"/>
  <c r="Y58" i="1"/>
  <c r="Q59" i="1"/>
  <c r="T59" i="1"/>
  <c r="Y59" i="1"/>
  <c r="Q60" i="1"/>
  <c r="T60" i="1"/>
  <c r="Y60" i="1"/>
  <c r="Q61" i="1"/>
  <c r="Y61" i="1"/>
  <c r="Q62" i="1"/>
  <c r="T62" i="1"/>
  <c r="Y62" i="1"/>
  <c r="Q63" i="1"/>
  <c r="T63" i="1"/>
  <c r="Y63" i="1"/>
  <c r="Q64" i="1"/>
  <c r="T64" i="1"/>
  <c r="Y64" i="1"/>
  <c r="Q65" i="1"/>
  <c r="T65" i="1"/>
  <c r="Y65" i="1"/>
  <c r="Q66" i="1"/>
  <c r="T66" i="1"/>
  <c r="Y66" i="1"/>
  <c r="Q67" i="1"/>
  <c r="T67" i="1"/>
  <c r="Y67" i="1"/>
  <c r="Q68" i="1"/>
  <c r="Y68" i="1"/>
  <c r="Q69" i="1"/>
  <c r="Y69" i="1"/>
  <c r="Q70" i="1"/>
  <c r="Y70" i="1"/>
  <c r="Q71" i="1"/>
  <c r="T71" i="1"/>
  <c r="Y71" i="1"/>
  <c r="Q72" i="1"/>
  <c r="T72" i="1"/>
  <c r="Y72" i="1"/>
  <c r="Q73" i="1"/>
  <c r="T73" i="1"/>
  <c r="Y73" i="1"/>
  <c r="Q74" i="1"/>
  <c r="Y74" i="1"/>
  <c r="Q75" i="1"/>
  <c r="Y75" i="1"/>
  <c r="Q76" i="1"/>
  <c r="T76" i="1"/>
  <c r="Y76" i="1"/>
  <c r="Q77" i="1"/>
  <c r="Q78" i="1"/>
  <c r="Y78" i="1"/>
  <c r="Q79" i="1"/>
  <c r="T79" i="1"/>
  <c r="Y79" i="1"/>
  <c r="Q80" i="1"/>
  <c r="T80" i="1"/>
  <c r="Y80" i="1"/>
  <c r="Q81" i="1"/>
  <c r="T81" i="1"/>
  <c r="Y81" i="1"/>
  <c r="Q82" i="1"/>
  <c r="T82" i="1"/>
  <c r="Y82" i="1"/>
  <c r="Q83" i="1"/>
  <c r="Y83" i="1"/>
  <c r="Q84" i="1"/>
  <c r="Y84" i="1"/>
  <c r="Q85" i="1"/>
  <c r="Y85" i="1"/>
  <c r="Q86" i="1"/>
  <c r="Y86" i="1"/>
  <c r="Q87" i="1"/>
  <c r="Y87" i="1"/>
  <c r="Q88" i="1"/>
  <c r="T88" i="1"/>
  <c r="Y88" i="1"/>
  <c r="Q89" i="1"/>
  <c r="Y89" i="1"/>
  <c r="Q90" i="1"/>
  <c r="T90" i="1"/>
  <c r="Y90" i="1"/>
  <c r="Q91" i="1"/>
  <c r="Y91" i="1"/>
  <c r="Q92" i="1"/>
  <c r="T92" i="1"/>
  <c r="Y92" i="1"/>
  <c r="Q93" i="1"/>
  <c r="T93" i="1"/>
  <c r="Y93" i="1"/>
  <c r="Q94" i="1"/>
  <c r="T94" i="1"/>
  <c r="Y94" i="1"/>
  <c r="Q95" i="1"/>
  <c r="Y95" i="1"/>
  <c r="T96" i="1"/>
  <c r="Q97" i="1"/>
  <c r="Q98" i="1"/>
  <c r="Y98" i="1"/>
  <c r="Q99" i="1"/>
  <c r="T99" i="1"/>
  <c r="Y99" i="1"/>
  <c r="Q100" i="1"/>
  <c r="Y100" i="1"/>
  <c r="Q101" i="1"/>
  <c r="T101" i="1"/>
  <c r="Y101" i="1"/>
  <c r="Q102" i="1"/>
  <c r="Y102" i="1"/>
  <c r="Q103" i="1"/>
  <c r="Y103" i="1"/>
  <c r="Q104" i="1"/>
  <c r="Y104" i="1"/>
  <c r="Q105" i="1"/>
  <c r="T105" i="1"/>
  <c r="Y105" i="1"/>
  <c r="Q106" i="1"/>
  <c r="Y106" i="1"/>
  <c r="Q107" i="1"/>
  <c r="T107" i="1"/>
  <c r="Y107" i="1"/>
  <c r="Q108" i="1"/>
  <c r="T108" i="1"/>
  <c r="Y108" i="1"/>
  <c r="Q109" i="1"/>
  <c r="Y109" i="1"/>
  <c r="Q110" i="1"/>
  <c r="Y110" i="1"/>
  <c r="Q111" i="1"/>
  <c r="Y111" i="1"/>
  <c r="Q112" i="1"/>
  <c r="T112" i="1"/>
  <c r="Y112" i="1"/>
  <c r="Q113" i="1"/>
  <c r="Y113" i="1"/>
  <c r="Q114" i="1"/>
  <c r="Y114" i="1"/>
  <c r="Q115" i="1"/>
  <c r="Y115" i="1"/>
  <c r="Q116" i="1"/>
  <c r="Y116" i="1"/>
  <c r="Q117" i="1"/>
  <c r="Y117" i="1"/>
  <c r="Q118" i="1"/>
  <c r="T118" i="1"/>
  <c r="Y118" i="1"/>
  <c r="Q119" i="1"/>
  <c r="T119" i="1"/>
  <c r="Y119" i="1"/>
  <c r="Q120" i="1"/>
  <c r="T120" i="1"/>
  <c r="Y120" i="1"/>
  <c r="Q121" i="1"/>
  <c r="T121" i="1"/>
  <c r="Y121" i="1"/>
  <c r="Q122" i="1"/>
  <c r="T122" i="1"/>
  <c r="Y122" i="1"/>
  <c r="Q123" i="1"/>
  <c r="T123" i="1"/>
  <c r="Y123" i="1"/>
  <c r="Q124" i="1"/>
  <c r="T124" i="1"/>
  <c r="Y124" i="1"/>
  <c r="Q125" i="1"/>
  <c r="T125" i="1"/>
  <c r="Y125" i="1"/>
  <c r="Q126" i="1"/>
  <c r="T126" i="1"/>
  <c r="Y126" i="1"/>
  <c r="Q127" i="1"/>
  <c r="T127" i="1"/>
  <c r="Y127" i="1"/>
  <c r="Q128" i="1"/>
  <c r="Y128" i="1"/>
  <c r="Q129" i="1"/>
  <c r="Y129" i="1"/>
  <c r="Q130" i="1"/>
  <c r="Y130" i="1"/>
  <c r="Q131" i="1"/>
  <c r="Q132" i="1"/>
  <c r="T132" i="1"/>
  <c r="Y132" i="1"/>
  <c r="Q133" i="1"/>
  <c r="T133" i="1"/>
  <c r="Y133" i="1"/>
  <c r="Q134" i="1"/>
  <c r="T134" i="1"/>
  <c r="Y134" i="1"/>
  <c r="Q135" i="1"/>
  <c r="T135" i="1"/>
  <c r="Y135" i="1"/>
  <c r="Q136" i="1"/>
  <c r="T136" i="1"/>
  <c r="Y136" i="1"/>
  <c r="Q137" i="1"/>
  <c r="T137" i="1"/>
  <c r="Y137" i="1"/>
  <c r="Q138" i="1"/>
  <c r="Y138" i="1"/>
  <c r="Q139" i="1"/>
  <c r="Y139" i="1"/>
  <c r="Q140" i="1"/>
  <c r="T140" i="1"/>
  <c r="Y140" i="1"/>
  <c r="Q141" i="1"/>
  <c r="Y141" i="1"/>
  <c r="Q142" i="1"/>
  <c r="T142" i="1"/>
  <c r="Y142" i="1"/>
  <c r="Q143" i="1"/>
  <c r="T143" i="1"/>
  <c r="Y143" i="1"/>
  <c r="Q144" i="1"/>
  <c r="T144" i="1"/>
  <c r="Y144" i="1"/>
  <c r="Q145" i="1"/>
  <c r="T145" i="1"/>
  <c r="Y145" i="1"/>
  <c r="Q146" i="1"/>
  <c r="Y146" i="1"/>
  <c r="Q147" i="1"/>
  <c r="Y147" i="1"/>
  <c r="Q148" i="1"/>
  <c r="T148" i="1"/>
  <c r="P153" i="1"/>
  <c r="S153" i="1"/>
  <c r="P159" i="1"/>
  <c r="S159" i="1"/>
  <c r="X159" i="1"/>
  <c r="P160" i="1"/>
  <c r="S160" i="1"/>
  <c r="P161" i="1"/>
  <c r="S161" i="1"/>
</calcChain>
</file>

<file path=xl/sharedStrings.xml><?xml version="1.0" encoding="utf-8"?>
<sst xmlns="http://schemas.openxmlformats.org/spreadsheetml/2006/main" count="703" uniqueCount="229">
  <si>
    <t>ОТЧЕТ ОБ ИСПОЛНЕНИИ БЮДЖЕТА</t>
  </si>
  <si>
    <t>КОДЫ</t>
  </si>
  <si>
    <t xml:space="preserve">Форма по ОКУД </t>
  </si>
  <si>
    <t>0503117</t>
  </si>
  <si>
    <t>на 1 апреля 2024 г.</t>
  </si>
  <si>
    <t xml:space="preserve">Дата </t>
  </si>
  <si>
    <t>Наименование финансового органа</t>
  </si>
  <si>
    <t>АДМИНИСТРАЦИЯ МАРЬЯНСКОГО СЕЛЬСКОГО ПОСЕЛЕНИЯ КРАСНОАРМЕЙСКОГО РАЙОНА</t>
  </si>
  <si>
    <t xml:space="preserve">по ОКПО </t>
  </si>
  <si>
    <t xml:space="preserve">Глава по БК </t>
  </si>
  <si>
    <t/>
  </si>
  <si>
    <t>Наименование публично-правового образования</t>
  </si>
  <si>
    <t>Бюджет Марьянского сельского поселения</t>
  </si>
  <si>
    <t xml:space="preserve">по ОКТМО </t>
  </si>
  <si>
    <t>03623412</t>
  </si>
  <si>
    <t>Периодичность:</t>
  </si>
  <si>
    <t>месячная, квартальная, годовая</t>
  </si>
  <si>
    <t>Единица измерения:</t>
  </si>
  <si>
    <t>руб.</t>
  </si>
  <si>
    <t xml:space="preserve">по ОКЕИ 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</si>
  <si>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</si>
  <si>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</si>
  <si>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</si>
  <si>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</si>
  <si>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</si>
  <si>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</si>
  <si>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</si>
  <si>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</si>
  <si>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</si>
  <si>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</si>
  <si>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</si>
  <si>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</si>
  <si>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</si>
  <si>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</si>
  <si>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всего, в т.ч.</t>
  </si>
  <si>
    <t>010</t>
  </si>
  <si>
    <t>х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</si>
  <si>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</si>
  <si>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</si>
  <si>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</si>
  <si>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</si>
  <si>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</si>
  <si>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</si>
  <si>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</si>
  <si>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182 10102040 01 0000 110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</si>
  <si>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</si>
  <si>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</si>
  <si>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182 10102080 01 0000 110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</si>
  <si>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</si>
  <si>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182 10102130 01 0000 110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</si>
  <si>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</si>
  <si>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</si>
  <si>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</si>
  <si>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</si>
  <si>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</si>
  <si>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</si>
  <si>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</si>
  <si>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</si>
  <si>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</si>
  <si>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182 10302261 01 0000 110</t>
  </si>
  <si>
    <t>Единый сельскохозяйственный налог</t>
  </si>
  <si>
    <t>182 10503010 01 0000 110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</si>
  <si>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</si>
  <si>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182 10601030 10 0000 110</t>
  </si>
  <si>
    <t>Земельный налог с организаций, обладающих земельным участком, расположенным в границах сельских поселений</t>
  </si>
  <si>
    <t>182 10606033 10 0000 110</t>
  </si>
  <si>
    <t>Земельный налог с физических лиц, обладающих земельным участком, расположенным в границах сельских поселений</t>
  </si>
  <si>
    <t>182 10606043 10 0000 110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</si>
  <si>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</si>
  <si>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992 11105025 10 0000 120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</si>
  <si>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</si>
  <si>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992 11105035 10 0000 120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</si>
  <si>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</si>
  <si>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992 11109080 10 0000 120</t>
  </si>
  <si>
    <t>Прочие доходы от компенсации затрат бюджетов сельских поселений</t>
  </si>
  <si>
    <t>992 11302995 10 0000 130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</si>
  <si>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</si>
  <si>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992 11607010 10 0000 140</t>
  </si>
  <si>
    <t>Дотации бюджетам сельских поселений на выравнивание бюджетной обеспеченности из бюджета субъекта Российской Федерации</t>
  </si>
  <si>
    <t>992 20215001 10 0000 150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</si>
  <si>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</si>
  <si>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992 20220077 10 0000 150</t>
  </si>
  <si>
    <t>Субвенции бюджетам сельских поселений на выполнение передаваемых полномочий субъектов Российской Федерации</t>
  </si>
  <si>
    <t>992 20230024 10 0000 150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</si>
  <si>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</si>
  <si>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992 20235118 10 0000 150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</si>
  <si>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</si>
  <si>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992 20240014 10 0000 150</t>
  </si>
  <si>
    <t>Прочие безвозмездные поступления в бюджеты сельских поселений</t>
  </si>
  <si>
    <t>992 20705030 10 0000 150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</si>
  <si>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</si>
  <si>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992 20805000 10 0000 150</t>
  </si>
  <si>
    <t>2. Расходы бюджета</t>
  </si>
  <si>
    <t>Код расхода
по бюджетной
классификации</t>
  </si>
  <si>
    <t>КОСГУ</t>
  </si>
  <si>
    <t>7</t>
  </si>
  <si>
    <t>Расходы бюджета всего, в т.ч.</t>
  </si>
  <si>
    <t>200</t>
  </si>
  <si>
    <t>Заработная плата</t>
  </si>
  <si>
    <t>992 0102 5010000190 121</t>
  </si>
  <si>
    <t>211</t>
  </si>
  <si>
    <t>Начисления на выплаты по оплате труда</t>
  </si>
  <si>
    <t>992 0102 5010000190 129</t>
  </si>
  <si>
    <t>213</t>
  </si>
  <si>
    <t>992 0104 5110000190 121</t>
  </si>
  <si>
    <t>Социальные пособия и компенсации персоналу в денежной форме</t>
  </si>
  <si>
    <t>266</t>
  </si>
  <si>
    <t>992 0104 5110000190 129</t>
  </si>
  <si>
    <t>Увеличение стоимости прочих оборотных запасов (материалов)</t>
  </si>
  <si>
    <t>992 0104 5120060190 244</t>
  </si>
  <si>
    <t>346</t>
  </si>
  <si>
    <t>Перечисления текущего характера другим бюджетам бюджетной системы Российской Федерации</t>
  </si>
  <si>
    <t>992 0104 6910020400 540</t>
  </si>
  <si>
    <t>251</t>
  </si>
  <si>
    <t>992 0106 6810020600 540</t>
  </si>
  <si>
    <t>992 0106 6820020600 540</t>
  </si>
  <si>
    <t>Иные выплаты текущего характера организациям</t>
  </si>
  <si>
    <t>992 0107 9910010050 880</t>
  </si>
  <si>
    <t>297</t>
  </si>
  <si>
    <t>Прочие работы, услуги</t>
  </si>
  <si>
    <t>992 0113 0110110030 244</t>
  </si>
  <si>
    <t>226</t>
  </si>
  <si>
    <t>Услуги связи</t>
  </si>
  <si>
    <t>992 0113 0120210030 244</t>
  </si>
  <si>
    <t>221</t>
  </si>
  <si>
    <t>Работы, услуги по содержанию имущества</t>
  </si>
  <si>
    <t>225</t>
  </si>
  <si>
    <t>Увеличение стоимости основных средств</t>
  </si>
  <si>
    <t>310</t>
  </si>
  <si>
    <t>992 0113 0120210140 244</t>
  </si>
  <si>
    <t>Коммунальные услуги</t>
  </si>
  <si>
    <t>992 0113 0130210030 244</t>
  </si>
  <si>
    <t>223</t>
  </si>
  <si>
    <t>Увеличение стоимости горюче-смазочных материалов</t>
  </si>
  <si>
    <t>343</t>
  </si>
  <si>
    <t>992 0113 0130210030 247</t>
  </si>
  <si>
    <t>Налоги, пошлины и сборы</t>
  </si>
  <si>
    <t>992 0113 0130210030 851</t>
  </si>
  <si>
    <t>291</t>
  </si>
  <si>
    <t>992 0113 0130210030 852</t>
  </si>
  <si>
    <t>Штрафы за нарушение законодательства о налогах и сборах, законодательства о страховых взносах</t>
  </si>
  <si>
    <t>992 0113 0130210030 853</t>
  </si>
  <si>
    <t>292</t>
  </si>
  <si>
    <t>Штрафы за нарушение законодательства о закупках и нарушение условий контрактов (договоров)</t>
  </si>
  <si>
    <t>293</t>
  </si>
  <si>
    <t>992 0113 0200110200 244</t>
  </si>
  <si>
    <t>Увеличение стоимости прочих материальных запасов однократного применения</t>
  </si>
  <si>
    <t>992 0113 0900110370 244</t>
  </si>
  <si>
    <t>349</t>
  </si>
  <si>
    <t>992 0113 1000110040 244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</si>
  <si>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</si>
  <si>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992 0113 1000110040 633</t>
  </si>
  <si>
    <t>246</t>
  </si>
  <si>
    <t>992 0113 1000110060 244</t>
  </si>
  <si>
    <t>992 0113 1000110060 360</t>
  </si>
  <si>
    <t>992 0203 5120051180 121</t>
  </si>
  <si>
    <t>992 0203 5120051180 129</t>
  </si>
  <si>
    <t>992 0310 0320210510 244</t>
  </si>
  <si>
    <t>992 0310 5410020500 540</t>
  </si>
  <si>
    <t>992 0314 0340410040 244</t>
  </si>
  <si>
    <t>992 0314 0340410120 244</t>
  </si>
  <si>
    <t>992 0314 0350510080 244</t>
  </si>
  <si>
    <t>992 0405 1300110520 244</t>
  </si>
  <si>
    <t>Транспортные услуги</t>
  </si>
  <si>
    <t>992 0409 0420210130 244</t>
  </si>
  <si>
    <t>222</t>
  </si>
  <si>
    <t>992 0412 0410110440 244</t>
  </si>
  <si>
    <t>992 0502 0600110470 244</t>
  </si>
  <si>
    <t>992 0502 0600110480 244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</si>
  <si>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</si>
  <si>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992 0502 0600110480 813</t>
  </si>
  <si>
    <t>992 0502 0600110480 815</t>
  </si>
  <si>
    <t>992 0502 06001S0330 414</t>
  </si>
  <si>
    <t>992 0503 0500110630 244</t>
  </si>
  <si>
    <t>992 0503 0500110630 247</t>
  </si>
  <si>
    <t>992 0503 0500110650 244</t>
  </si>
  <si>
    <t>992 0503 0500110660 244</t>
  </si>
  <si>
    <t>992 0503 0500110670 244</t>
  </si>
  <si>
    <t>992 0503 0500111001 244</t>
  </si>
  <si>
    <t>992 0503 0500120700 244</t>
  </si>
  <si>
    <t>992 0503 1510110550 244</t>
  </si>
  <si>
    <t>992 0707 0700110280 244</t>
  </si>
  <si>
    <t>992 0801 0810100590 111</t>
  </si>
  <si>
    <t>Прочие выплаты</t>
  </si>
  <si>
    <t>992 0801 0810100590 112</t>
  </si>
  <si>
    <t>212</t>
  </si>
  <si>
    <t>992 0801 0810100590 119</t>
  </si>
  <si>
    <t>992 0801 0810100590 244</t>
  </si>
  <si>
    <t>992 0801 0810100590 247</t>
  </si>
  <si>
    <t>992 0801 0810100590 853</t>
  </si>
  <si>
    <t>992 0801 0810109010 244</t>
  </si>
  <si>
    <t>992 0801 0810162980 244</t>
  </si>
  <si>
    <t>992 0801 0820200590 111</t>
  </si>
  <si>
    <t>992 0801 0820200590 112</t>
  </si>
  <si>
    <t>992 0801 0820200590 119</t>
  </si>
  <si>
    <t>992 0801 0820200590 244</t>
  </si>
  <si>
    <t>992 0801 0820200590 853</t>
  </si>
  <si>
    <t>992 0801 0820209010 244</t>
  </si>
  <si>
    <t>992 0801 0830310090 244</t>
  </si>
  <si>
    <t>Пенсии, пособия, выплачиваемые работодателями, нанимателями бывшим работникам в денежной форме</t>
  </si>
  <si>
    <t>992 1001 1000210390 312</t>
  </si>
  <si>
    <t>264</t>
  </si>
  <si>
    <t>992 1102 1100110310 244</t>
  </si>
  <si>
    <t>992 1102 1100110320 244</t>
  </si>
  <si>
    <t>Результат исполнения бюджета (дефицит\ профицит)</t>
  </si>
  <si>
    <t>450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</si>
  <si>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</si>
  <si>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</si>
  <si>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</si>
  <si>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</si>
  <si>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 xml:space="preserve">     в том числе:</t>
  </si>
  <si>
    <t>источники внутреннего финансирования бюджета, из них:</t>
  </si>
  <si>
    <t>520</t>
  </si>
  <si>
    <t>источники внешнего финансирования бюджета, из них:</t>
  </si>
  <si>
    <t>620</t>
  </si>
  <si>
    <t>Изменение остатков средств</t>
  </si>
  <si>
    <t>700</t>
  </si>
  <si>
    <t>01050000 00 0000 000</t>
  </si>
  <si>
    <t xml:space="preserve">     увеличение остатков средств</t>
  </si>
  <si>
    <t>710</t>
  </si>
  <si>
    <t>100 01050201 10 0000 510</t>
  </si>
  <si>
    <t xml:space="preserve">     уменьшение остатков средств</t>
  </si>
  <si>
    <t>720</t>
  </si>
  <si>
    <t>100 01050201 10 0000 610</t>
  </si>
  <si>
    <t>(подпись)</t>
  </si>
  <si>
    <t>(расшифровка подписи)</t>
  </si>
  <si>
    <t>Стаценко А.В.</t>
  </si>
  <si>
    <t>Тимофеева А.Б.</t>
  </si>
  <si>
    <t xml:space="preserve">   28 июня 2024 г.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</si>
</sst>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64"/>
      <name val="Arial"/>
      <charset val="1"/>
    </font>
    <font>
      <b/>
      <sz val="9"/>
      <color indexed="8"/>
      <name val="Tahoma"/>
      <charset val="1"/>
    </font>
    <font>
      <sz val="8"/>
      <color indexed="8"/>
      <name val="Tahoma"/>
      <charset val="1"/>
    </font>
    <font>
      <i/>
      <sz val="8"/>
      <color indexed="8"/>
      <name val="Tahoma"/>
      <charset val="1"/>
    </font>
    <font>
      <b/>
      <sz val="8"/>
      <color indexed="8"/>
      <name val="Tahoma"/>
      <charset val="1"/>
    </font>
    <font>
      <sz val="7"/>
      <color indexed="8"/>
      <name val="Tahoma"/>
      <charset val="1"/>
    </font>
    <font>
      <u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right" wrapText="1"/>
    </xf>
    <xf numFmtId="0" fontId="2" fillId="2" borderId="0" xfId="0" applyNumberFormat="1" applyFont="1" applyFill="1" applyAlignment="1">
      <alignment horizontal="left" wrapText="1"/>
    </xf>
    <xf numFmtId="0" fontId="3" fillId="2" borderId="32" xfId="0" applyNumberFormat="1" applyFont="1" applyFill="1" applyBorder="1" applyAlignment="1">
      <alignment horizontal="left" wrapText="1"/>
    </xf>
    <xf numFmtId="0" fontId="4" fillId="2" borderId="0" xfId="0" applyNumberFormat="1" applyFont="1" applyFill="1" applyAlignment="1">
      <alignment horizont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horizontal="right" vertical="center" wrapText="1"/>
    </xf>
    <xf numFmtId="4" fontId="2" fillId="2" borderId="22" xfId="0" applyNumberFormat="1" applyFont="1" applyFill="1" applyBorder="1" applyAlignment="1">
      <alignment horizontal="right" vertical="center" wrapText="1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right"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0" fontId="2" fillId="2" borderId="31" xfId="0" applyNumberFormat="1" applyFont="1" applyFill="1" applyBorder="1" applyAlignment="1">
      <alignment horizontal="right" vertical="center" wrapText="1"/>
    </xf>
    <xf numFmtId="0" fontId="2" fillId="2" borderId="15" xfId="0" applyNumberFormat="1" applyFont="1" applyFill="1" applyBorder="1" applyAlignment="1">
      <alignment horizontal="right" vertical="center" wrapText="1"/>
    </xf>
    <xf numFmtId="0" fontId="4" fillId="2" borderId="30" xfId="0" applyNumberFormat="1" applyFont="1" applyFill="1" applyBorder="1" applyAlignment="1">
      <alignment horizont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26" xfId="0" applyNumberFormat="1" applyFont="1" applyFill="1" applyBorder="1" applyAlignment="1">
      <alignment horizontal="right" vertical="center" wrapText="1"/>
    </xf>
    <xf numFmtId="0" fontId="2" fillId="2" borderId="6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26" xfId="0" applyNumberFormat="1" applyFont="1" applyFill="1" applyBorder="1" applyAlignment="1">
      <alignment horizontal="righ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4" fontId="2" fillId="2" borderId="28" xfId="0" applyNumberFormat="1" applyFont="1" applyFill="1" applyBorder="1" applyAlignment="1">
      <alignment horizontal="right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righ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right" vertical="center" wrapText="1"/>
    </xf>
    <xf numFmtId="0" fontId="2" fillId="2" borderId="17" xfId="0" applyNumberFormat="1" applyFont="1" applyFill="1" applyBorder="1" applyAlignment="1">
      <alignment horizontal="right" vertical="center" wrapText="1"/>
    </xf>
    <xf numFmtId="0" fontId="2" fillId="2" borderId="11" xfId="0" applyNumberFormat="1" applyFont="1" applyFill="1" applyBorder="1" applyAlignment="1">
      <alignment horizontal="right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right" vertical="center" wrapText="1"/>
    </xf>
    <xf numFmtId="0" fontId="2" fillId="2" borderId="16" xfId="0" applyNumberFormat="1" applyFont="1" applyFill="1" applyBorder="1" applyAlignment="1">
      <alignment horizontal="right" vertical="center" wrapText="1"/>
    </xf>
    <xf numFmtId="0" fontId="2" fillId="2" borderId="7" xfId="0" applyNumberFormat="1" applyFont="1" applyFill="1" applyBorder="1" applyAlignment="1">
      <alignment horizontal="right" vertical="center" wrapText="1"/>
    </xf>
    <xf numFmtId="0" fontId="2" fillId="2" borderId="8" xfId="0" applyNumberFormat="1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wrapText="1"/>
    </xf>
    <xf numFmtId="0" fontId="6" fillId="2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Z169"/>
  <sheetViews>
    <sheetView tabSelected="1" workbookViewId="0">
      <selection activeCell="A169" sqref="A169:G169"/>
    </sheetView>
  </sheetViews>
  <sheetFormatPr defaultRowHeight="12.75" x14ac:dyDescent="0.2"/>
  <cols>
    <col min="1" max="1" width="13.7109375" style="1" customWidth="1"/>
    <col min="2" max="2" width="2.7109375" style="1" customWidth="1"/>
    <col min="3" max="3" width="13.7109375" style="1" customWidth="1"/>
    <col min="4" max="4" width="9.7109375" style="1" customWidth="1"/>
    <col min="5" max="5" width="6.7109375" style="1" customWidth="1"/>
    <col min="6" max="6" width="2.7109375" style="1" customWidth="1"/>
    <col min="7" max="7" width="1.7109375" style="1" customWidth="1"/>
    <col min="8" max="8" width="12.7109375" style="1" customWidth="1"/>
    <col min="9" max="9" width="1.7109375" style="1" customWidth="1"/>
    <col min="10" max="10" width="3.7109375" style="1" customWidth="1"/>
    <col min="11" max="11" width="2.7109375" style="1" customWidth="1"/>
    <col min="12" max="12" width="1.7109375" style="1" customWidth="1"/>
    <col min="13" max="13" width="2.7109375" style="1" customWidth="1"/>
    <col min="14" max="14" width="17.7109375" style="1" customWidth="1"/>
    <col min="15" max="15" width="4.7109375" style="1" customWidth="1"/>
    <col min="16" max="17" width="2.7109375" style="1" customWidth="1"/>
    <col min="18" max="18" width="12.7109375" style="1" customWidth="1"/>
    <col min="19" max="19" width="1.7109375" style="1" customWidth="1"/>
    <col min="20" max="20" width="6.7109375" style="1" customWidth="1"/>
    <col min="21" max="21" width="3.7109375" style="1" customWidth="1"/>
    <col min="22" max="22" width="1.7109375" style="1" customWidth="1"/>
    <col min="23" max="23" width="4.7109375" style="1" customWidth="1"/>
    <col min="24" max="24" width="1.7109375" style="1" customWidth="1"/>
    <col min="25" max="25" width="3.7109375" style="1" customWidth="1"/>
    <col min="26" max="26" width="12.7109375" style="1" customWidth="1"/>
  </cols>
  <sheetData>
    <row r="1" spans="1:26" s="1" customFormat="1" ht="14.1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2" t="s">
        <v>1</v>
      </c>
    </row>
    <row r="2" spans="1:26" s="1" customFormat="1" ht="14.1" customHeight="1" x14ac:dyDescent="0.2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3" t="s">
        <v>3</v>
      </c>
    </row>
    <row r="3" spans="1:26" s="1" customFormat="1" ht="14.1" customHeight="1" x14ac:dyDescent="0.2">
      <c r="A3" s="8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 t="s">
        <v>5</v>
      </c>
      <c r="X3" s="9"/>
      <c r="Y3" s="9"/>
      <c r="Z3" s="4">
        <v>45383</v>
      </c>
    </row>
    <row r="4" spans="1:26" s="1" customFormat="1" ht="14.1" customHeight="1" x14ac:dyDescent="0.2">
      <c r="A4" s="10" t="s">
        <v>6</v>
      </c>
      <c r="B4" s="10"/>
      <c r="C4" s="10"/>
      <c r="D4" s="11" t="s">
        <v>7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9" t="s">
        <v>8</v>
      </c>
      <c r="W4" s="9"/>
      <c r="X4" s="9"/>
      <c r="Y4" s="9"/>
      <c r="Z4" s="6" t="s">
        <v>10</v>
      </c>
    </row>
    <row r="5" spans="1:26" s="1" customFormat="1" ht="14.1" customHeight="1" x14ac:dyDescent="0.2">
      <c r="A5" s="10"/>
      <c r="B5" s="10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9" t="s">
        <v>9</v>
      </c>
      <c r="W5" s="9"/>
      <c r="X5" s="9"/>
      <c r="Y5" s="9"/>
      <c r="Z5" s="6" t="s">
        <v>10</v>
      </c>
    </row>
    <row r="6" spans="1:26" s="1" customFormat="1" ht="14.1" customHeight="1" x14ac:dyDescent="0.2">
      <c r="A6" s="10" t="s">
        <v>11</v>
      </c>
      <c r="B6" s="10"/>
      <c r="C6" s="10"/>
      <c r="D6" s="10"/>
      <c r="E6" s="11" t="s">
        <v>12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9" t="s">
        <v>13</v>
      </c>
      <c r="W6" s="9"/>
      <c r="X6" s="9"/>
      <c r="Y6" s="9"/>
      <c r="Z6" s="6" t="s">
        <v>14</v>
      </c>
    </row>
    <row r="7" spans="1:26" s="1" customFormat="1" ht="14.1" customHeight="1" x14ac:dyDescent="0.2">
      <c r="A7" s="5" t="s">
        <v>15</v>
      </c>
      <c r="B7" s="10" t="s">
        <v>16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6" t="s">
        <v>10</v>
      </c>
    </row>
    <row r="8" spans="1:26" s="1" customFormat="1" ht="14.1" customHeight="1" x14ac:dyDescent="0.2">
      <c r="A8" s="10" t="s">
        <v>17</v>
      </c>
      <c r="B8" s="10"/>
      <c r="C8" s="10" t="s">
        <v>18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9" t="s">
        <v>19</v>
      </c>
      <c r="V8" s="9"/>
      <c r="W8" s="9"/>
      <c r="X8" s="9"/>
      <c r="Y8" s="9"/>
      <c r="Z8" s="7" t="s">
        <v>20</v>
      </c>
    </row>
    <row r="9" spans="1:26" s="1" customFormat="1" ht="14.1" customHeight="1" x14ac:dyDescent="0.2">
      <c r="A9" s="12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1" customFormat="1" ht="35.1" customHeight="1" x14ac:dyDescent="0.2">
      <c r="A10" s="13" t="s">
        <v>22</v>
      </c>
      <c r="B10" s="13"/>
      <c r="C10" s="13"/>
      <c r="D10" s="13"/>
      <c r="E10" s="13"/>
      <c r="F10" s="13"/>
      <c r="G10" s="13"/>
      <c r="H10" s="13"/>
      <c r="I10" s="13"/>
      <c r="J10" s="13" t="s">
        <v>23</v>
      </c>
      <c r="K10" s="13"/>
      <c r="L10" s="13"/>
      <c r="M10" s="13" t="s">
        <v>24</v>
      </c>
      <c r="N10" s="13"/>
      <c r="O10" s="13"/>
      <c r="P10" s="14" t="s">
        <v>25</v>
      </c>
      <c r="Q10" s="14"/>
      <c r="R10" s="14"/>
      <c r="S10" s="14" t="s">
        <v>26</v>
      </c>
      <c r="T10" s="14"/>
      <c r="U10" s="14"/>
      <c r="V10" s="14"/>
      <c r="W10" s="14"/>
      <c r="X10" s="15" t="s">
        <v>27</v>
      </c>
      <c r="Y10" s="15"/>
      <c r="Z10" s="15"/>
    </row>
    <row r="11" spans="1:26" s="1" customFormat="1" ht="12.95" customHeight="1" x14ac:dyDescent="0.2">
      <c r="A11" s="16" t="s">
        <v>28</v>
      </c>
      <c r="B11" s="16"/>
      <c r="C11" s="16"/>
      <c r="D11" s="16"/>
      <c r="E11" s="16"/>
      <c r="F11" s="16"/>
      <c r="G11" s="16"/>
      <c r="H11" s="16"/>
      <c r="I11" s="16"/>
      <c r="J11" s="16" t="s">
        <v>29</v>
      </c>
      <c r="K11" s="16"/>
      <c r="L11" s="16"/>
      <c r="M11" s="16" t="s">
        <v>30</v>
      </c>
      <c r="N11" s="16"/>
      <c r="O11" s="16"/>
      <c r="P11" s="17" t="s">
        <v>31</v>
      </c>
      <c r="Q11" s="17"/>
      <c r="R11" s="17"/>
      <c r="S11" s="17" t="s">
        <v>32</v>
      </c>
      <c r="T11" s="17"/>
      <c r="U11" s="17"/>
      <c r="V11" s="17"/>
      <c r="W11" s="17"/>
      <c r="X11" s="18" t="s">
        <v>33</v>
      </c>
      <c r="Y11" s="18"/>
      <c r="Z11" s="18"/>
    </row>
    <row r="12" spans="1:26" s="1" customFormat="1" ht="14.1" customHeight="1" x14ac:dyDescent="0.2">
      <c r="A12" s="19" t="s">
        <v>34</v>
      </c>
      <c r="B12" s="19"/>
      <c r="C12" s="19"/>
      <c r="D12" s="19"/>
      <c r="E12" s="19"/>
      <c r="F12" s="19"/>
      <c r="G12" s="19"/>
      <c r="H12" s="19"/>
      <c r="I12" s="19"/>
      <c r="J12" s="20" t="s">
        <v>35</v>
      </c>
      <c r="K12" s="20"/>
      <c r="L12" s="20"/>
      <c r="M12" s="20" t="s">
        <v>36</v>
      </c>
      <c r="N12" s="20"/>
      <c r="O12" s="20"/>
      <c r="P12" s="21">
        <f>200388429.5</f>
        <v>200388429.5</v>
      </c>
      <c r="Q12" s="21"/>
      <c r="R12" s="21"/>
      <c r="S12" s="21">
        <f>20684015.27</f>
        <v>20684015.27</v>
      </c>
      <c r="T12" s="21"/>
      <c r="U12" s="21"/>
      <c r="V12" s="21"/>
      <c r="W12" s="21"/>
      <c r="X12" s="22">
        <f>179704414.23</f>
        <v>179704414.22999999</v>
      </c>
      <c r="Y12" s="22"/>
      <c r="Z12" s="22"/>
    </row>
    <row r="13" spans="1:26" s="1" customFormat="1" ht="66" customHeight="1" x14ac:dyDescent="0.2">
      <c r="A13" s="23" t="s">
        <v>37</v>
      </c>
      <c r="B13" s="23"/>
      <c r="C13" s="23"/>
      <c r="D13" s="23"/>
      <c r="E13" s="23"/>
      <c r="F13" s="23"/>
      <c r="G13" s="23"/>
      <c r="H13" s="23"/>
      <c r="I13" s="23"/>
      <c r="J13" s="24" t="s">
        <v>35</v>
      </c>
      <c r="K13" s="24"/>
      <c r="L13" s="24"/>
      <c r="M13" s="24" t="s">
        <v>38</v>
      </c>
      <c r="N13" s="24"/>
      <c r="O13" s="24"/>
      <c r="P13" s="25">
        <f>16324000</f>
        <v>16324000</v>
      </c>
      <c r="Q13" s="25"/>
      <c r="R13" s="25"/>
      <c r="S13" s="25">
        <f>12884002.67</f>
        <v>12884002.67</v>
      </c>
      <c r="T13" s="25"/>
      <c r="U13" s="25"/>
      <c r="V13" s="25"/>
      <c r="W13" s="25"/>
      <c r="X13" s="26">
        <f>3439997.33</f>
        <v>3439997.33</v>
      </c>
      <c r="Y13" s="26"/>
      <c r="Z13" s="26"/>
    </row>
    <row r="14" spans="1:26" s="1" customFormat="1" ht="66" customHeight="1" x14ac:dyDescent="0.2">
      <c r="A14" s="23" t="s">
        <v>39</v>
      </c>
      <c r="B14" s="23"/>
      <c r="C14" s="23"/>
      <c r="D14" s="23"/>
      <c r="E14" s="23"/>
      <c r="F14" s="23"/>
      <c r="G14" s="23"/>
      <c r="H14" s="23"/>
      <c r="I14" s="23"/>
      <c r="J14" s="24" t="s">
        <v>35</v>
      </c>
      <c r="K14" s="24"/>
      <c r="L14" s="24"/>
      <c r="M14" s="24" t="s">
        <v>40</v>
      </c>
      <c r="N14" s="24"/>
      <c r="O14" s="24"/>
      <c r="P14" s="25">
        <f>60000</f>
        <v>60000</v>
      </c>
      <c r="Q14" s="25"/>
      <c r="R14" s="25"/>
      <c r="S14" s="25">
        <f>8158.58</f>
        <v>8158.58</v>
      </c>
      <c r="T14" s="25"/>
      <c r="U14" s="25"/>
      <c r="V14" s="25"/>
      <c r="W14" s="25"/>
      <c r="X14" s="26">
        <f>51841.42</f>
        <v>51841.42</v>
      </c>
      <c r="Y14" s="26"/>
      <c r="Z14" s="26"/>
    </row>
    <row r="15" spans="1:26" s="1" customFormat="1" ht="54.95" customHeight="1" x14ac:dyDescent="0.2">
      <c r="A15" s="23" t="s">
        <v>41</v>
      </c>
      <c r="B15" s="23"/>
      <c r="C15" s="23"/>
      <c r="D15" s="23"/>
      <c r="E15" s="23"/>
      <c r="F15" s="23"/>
      <c r="G15" s="23"/>
      <c r="H15" s="23"/>
      <c r="I15" s="23"/>
      <c r="J15" s="24" t="s">
        <v>35</v>
      </c>
      <c r="K15" s="24"/>
      <c r="L15" s="24"/>
      <c r="M15" s="24" t="s">
        <v>42</v>
      </c>
      <c r="N15" s="24"/>
      <c r="O15" s="24"/>
      <c r="P15" s="25">
        <f>600000</f>
        <v>600000</v>
      </c>
      <c r="Q15" s="25"/>
      <c r="R15" s="25"/>
      <c r="S15" s="25">
        <f>58483.76</f>
        <v>58483.76</v>
      </c>
      <c r="T15" s="25"/>
      <c r="U15" s="25"/>
      <c r="V15" s="25"/>
      <c r="W15" s="25"/>
      <c r="X15" s="26">
        <f>541516.24</f>
        <v>541516.24</v>
      </c>
      <c r="Y15" s="26"/>
      <c r="Z15" s="26"/>
    </row>
    <row r="16" spans="1:26" s="1" customFormat="1" ht="54.95" customHeight="1" x14ac:dyDescent="0.2">
      <c r="A16" s="23" t="s">
        <v>43</v>
      </c>
      <c r="B16" s="23"/>
      <c r="C16" s="23"/>
      <c r="D16" s="23"/>
      <c r="E16" s="23"/>
      <c r="F16" s="23"/>
      <c r="G16" s="23"/>
      <c r="H16" s="23"/>
      <c r="I16" s="23"/>
      <c r="J16" s="24" t="s">
        <v>35</v>
      </c>
      <c r="K16" s="24"/>
      <c r="L16" s="24"/>
      <c r="M16" s="24" t="s">
        <v>44</v>
      </c>
      <c r="N16" s="24"/>
      <c r="O16" s="24"/>
      <c r="P16" s="25">
        <f>16000</f>
        <v>16000</v>
      </c>
      <c r="Q16" s="25"/>
      <c r="R16" s="25"/>
      <c r="S16" s="25">
        <f>38810</f>
        <v>38810</v>
      </c>
      <c r="T16" s="25"/>
      <c r="U16" s="25"/>
      <c r="V16" s="25"/>
      <c r="W16" s="25"/>
      <c r="X16" s="27" t="s">
        <v>45</v>
      </c>
      <c r="Y16" s="27"/>
      <c r="Z16" s="27"/>
    </row>
    <row r="17" spans="1:26" s="1" customFormat="1" ht="86.1" customHeight="1" x14ac:dyDescent="0.2">
      <c r="A17" s="23" t="s">
        <v>46</v>
      </c>
      <c r="B17" s="23"/>
      <c r="C17" s="23"/>
      <c r="D17" s="23"/>
      <c r="E17" s="23"/>
      <c r="F17" s="23"/>
      <c r="G17" s="23"/>
      <c r="H17" s="23"/>
      <c r="I17" s="23"/>
      <c r="J17" s="24" t="s">
        <v>35</v>
      </c>
      <c r="K17" s="24"/>
      <c r="L17" s="24"/>
      <c r="M17" s="24" t="s">
        <v>47</v>
      </c>
      <c r="N17" s="24"/>
      <c r="O17" s="24"/>
      <c r="P17" s="25">
        <f>1600000</f>
        <v>1600000</v>
      </c>
      <c r="Q17" s="25"/>
      <c r="R17" s="25"/>
      <c r="S17" s="25">
        <f>-423265.99</f>
        <v>-423265.99</v>
      </c>
      <c r="T17" s="25"/>
      <c r="U17" s="25"/>
      <c r="V17" s="25"/>
      <c r="W17" s="25"/>
      <c r="X17" s="26">
        <f>2023265.99</f>
        <v>2023265.99</v>
      </c>
      <c r="Y17" s="26"/>
      <c r="Z17" s="26"/>
    </row>
    <row r="18" spans="1:26" s="1" customFormat="1" ht="45" customHeight="1" x14ac:dyDescent="0.2">
      <c r="A18" s="23" t="s">
        <v>48</v>
      </c>
      <c r="B18" s="23"/>
      <c r="C18" s="23"/>
      <c r="D18" s="23"/>
      <c r="E18" s="23"/>
      <c r="F18" s="23"/>
      <c r="G18" s="23"/>
      <c r="H18" s="23"/>
      <c r="I18" s="23"/>
      <c r="J18" s="24" t="s">
        <v>35</v>
      </c>
      <c r="K18" s="24"/>
      <c r="L18" s="24"/>
      <c r="M18" s="24" t="s">
        <v>49</v>
      </c>
      <c r="N18" s="24"/>
      <c r="O18" s="24"/>
      <c r="P18" s="25">
        <f>700000</f>
        <v>700000</v>
      </c>
      <c r="Q18" s="25"/>
      <c r="R18" s="25"/>
      <c r="S18" s="25">
        <f>223725.3</f>
        <v>223725.3</v>
      </c>
      <c r="T18" s="25"/>
      <c r="U18" s="25"/>
      <c r="V18" s="25"/>
      <c r="W18" s="25"/>
      <c r="X18" s="26">
        <f>476274.7</f>
        <v>476274.7</v>
      </c>
      <c r="Y18" s="26"/>
      <c r="Z18" s="26"/>
    </row>
    <row r="19" spans="1:26" s="1" customFormat="1" ht="45" customHeight="1" x14ac:dyDescent="0.2">
      <c r="A19" s="23" t="s">
        <v>50</v>
      </c>
      <c r="B19" s="23"/>
      <c r="C19" s="23"/>
      <c r="D19" s="23"/>
      <c r="E19" s="23"/>
      <c r="F19" s="23"/>
      <c r="G19" s="23"/>
      <c r="H19" s="23"/>
      <c r="I19" s="23"/>
      <c r="J19" s="24" t="s">
        <v>35</v>
      </c>
      <c r="K19" s="24"/>
      <c r="L19" s="24"/>
      <c r="M19" s="24" t="s">
        <v>51</v>
      </c>
      <c r="N19" s="24"/>
      <c r="O19" s="24"/>
      <c r="P19" s="25">
        <f>700000</f>
        <v>700000</v>
      </c>
      <c r="Q19" s="25"/>
      <c r="R19" s="25"/>
      <c r="S19" s="25">
        <f>984373.13</f>
        <v>984373.13</v>
      </c>
      <c r="T19" s="25"/>
      <c r="U19" s="25"/>
      <c r="V19" s="25"/>
      <c r="W19" s="25"/>
      <c r="X19" s="27" t="s">
        <v>45</v>
      </c>
      <c r="Y19" s="27"/>
      <c r="Z19" s="27"/>
    </row>
    <row r="20" spans="1:26" s="1" customFormat="1" ht="66" customHeight="1" x14ac:dyDescent="0.2">
      <c r="A20" s="23" t="s">
        <v>52</v>
      </c>
      <c r="B20" s="23"/>
      <c r="C20" s="23"/>
      <c r="D20" s="23"/>
      <c r="E20" s="23"/>
      <c r="F20" s="23"/>
      <c r="G20" s="23"/>
      <c r="H20" s="23"/>
      <c r="I20" s="23"/>
      <c r="J20" s="24" t="s">
        <v>35</v>
      </c>
      <c r="K20" s="24"/>
      <c r="L20" s="24"/>
      <c r="M20" s="24" t="s">
        <v>53</v>
      </c>
      <c r="N20" s="24"/>
      <c r="O20" s="24"/>
      <c r="P20" s="25">
        <f>3500000</f>
        <v>3500000</v>
      </c>
      <c r="Q20" s="25"/>
      <c r="R20" s="25"/>
      <c r="S20" s="25">
        <f>885164.91</f>
        <v>885164.91</v>
      </c>
      <c r="T20" s="25"/>
      <c r="U20" s="25"/>
      <c r="V20" s="25"/>
      <c r="W20" s="25"/>
      <c r="X20" s="26">
        <f>2614835.09</f>
        <v>2614835.09</v>
      </c>
      <c r="Y20" s="26"/>
      <c r="Z20" s="26"/>
    </row>
    <row r="21" spans="1:26" s="1" customFormat="1" ht="75.95" customHeight="1" x14ac:dyDescent="0.2">
      <c r="A21" s="23" t="s">
        <v>54</v>
      </c>
      <c r="B21" s="23"/>
      <c r="C21" s="23"/>
      <c r="D21" s="23"/>
      <c r="E21" s="23"/>
      <c r="F21" s="23"/>
      <c r="G21" s="23"/>
      <c r="H21" s="23"/>
      <c r="I21" s="23"/>
      <c r="J21" s="24" t="s">
        <v>35</v>
      </c>
      <c r="K21" s="24"/>
      <c r="L21" s="24"/>
      <c r="M21" s="24" t="s">
        <v>55</v>
      </c>
      <c r="N21" s="24"/>
      <c r="O21" s="24"/>
      <c r="P21" s="25">
        <f>100000</f>
        <v>100000</v>
      </c>
      <c r="Q21" s="25"/>
      <c r="R21" s="25"/>
      <c r="S21" s="25">
        <f>4657.06</f>
        <v>4657.0600000000004</v>
      </c>
      <c r="T21" s="25"/>
      <c r="U21" s="25"/>
      <c r="V21" s="25"/>
      <c r="W21" s="25"/>
      <c r="X21" s="26">
        <f>95342.94</f>
        <v>95342.94</v>
      </c>
      <c r="Y21" s="26"/>
      <c r="Z21" s="26"/>
    </row>
    <row r="22" spans="1:26" s="1" customFormat="1" ht="66" customHeight="1" x14ac:dyDescent="0.2">
      <c r="A22" s="23" t="s">
        <v>56</v>
      </c>
      <c r="B22" s="23"/>
      <c r="C22" s="23"/>
      <c r="D22" s="23"/>
      <c r="E22" s="23"/>
      <c r="F22" s="23"/>
      <c r="G22" s="23"/>
      <c r="H22" s="23"/>
      <c r="I22" s="23"/>
      <c r="J22" s="24" t="s">
        <v>35</v>
      </c>
      <c r="K22" s="24"/>
      <c r="L22" s="24"/>
      <c r="M22" s="24" t="s">
        <v>57</v>
      </c>
      <c r="N22" s="24"/>
      <c r="O22" s="24"/>
      <c r="P22" s="25">
        <f>3499400</f>
        <v>3499400</v>
      </c>
      <c r="Q22" s="25"/>
      <c r="R22" s="25"/>
      <c r="S22" s="25">
        <f>1009571.52</f>
        <v>1009571.52</v>
      </c>
      <c r="T22" s="25"/>
      <c r="U22" s="25"/>
      <c r="V22" s="25"/>
      <c r="W22" s="25"/>
      <c r="X22" s="26">
        <f>2489828.48</f>
        <v>2489828.48</v>
      </c>
      <c r="Y22" s="26"/>
      <c r="Z22" s="26"/>
    </row>
    <row r="23" spans="1:26" s="1" customFormat="1" ht="66" customHeight="1" x14ac:dyDescent="0.2">
      <c r="A23" s="23" t="s">
        <v>58</v>
      </c>
      <c r="B23" s="23"/>
      <c r="C23" s="23"/>
      <c r="D23" s="23"/>
      <c r="E23" s="23"/>
      <c r="F23" s="23"/>
      <c r="G23" s="23"/>
      <c r="H23" s="23"/>
      <c r="I23" s="23"/>
      <c r="J23" s="24" t="s">
        <v>35</v>
      </c>
      <c r="K23" s="24"/>
      <c r="L23" s="24"/>
      <c r="M23" s="24" t="s">
        <v>59</v>
      </c>
      <c r="N23" s="24"/>
      <c r="O23" s="24"/>
      <c r="P23" s="28" t="s">
        <v>45</v>
      </c>
      <c r="Q23" s="28"/>
      <c r="R23" s="28"/>
      <c r="S23" s="25">
        <f>-93977.92</f>
        <v>-93977.919999999998</v>
      </c>
      <c r="T23" s="25"/>
      <c r="U23" s="25"/>
      <c r="V23" s="25"/>
      <c r="W23" s="25"/>
      <c r="X23" s="27" t="s">
        <v>45</v>
      </c>
      <c r="Y23" s="27"/>
      <c r="Z23" s="27"/>
    </row>
    <row r="24" spans="1:26" s="1" customFormat="1" ht="14.1" customHeight="1" x14ac:dyDescent="0.2">
      <c r="A24" s="23" t="s">
        <v>60</v>
      </c>
      <c r="B24" s="23"/>
      <c r="C24" s="23"/>
      <c r="D24" s="23"/>
      <c r="E24" s="23"/>
      <c r="F24" s="23"/>
      <c r="G24" s="23"/>
      <c r="H24" s="23"/>
      <c r="I24" s="23"/>
      <c r="J24" s="24" t="s">
        <v>35</v>
      </c>
      <c r="K24" s="24"/>
      <c r="L24" s="24"/>
      <c r="M24" s="24" t="s">
        <v>61</v>
      </c>
      <c r="N24" s="24"/>
      <c r="O24" s="24"/>
      <c r="P24" s="25">
        <f>106500</f>
        <v>106500</v>
      </c>
      <c r="Q24" s="25"/>
      <c r="R24" s="25"/>
      <c r="S24" s="25">
        <f>79410.5</f>
        <v>79410.5</v>
      </c>
      <c r="T24" s="25"/>
      <c r="U24" s="25"/>
      <c r="V24" s="25"/>
      <c r="W24" s="25"/>
      <c r="X24" s="26">
        <f>27089.5</f>
        <v>27089.5</v>
      </c>
      <c r="Y24" s="26"/>
      <c r="Z24" s="26"/>
    </row>
    <row r="25" spans="1:26" s="1" customFormat="1" ht="24" customHeight="1" x14ac:dyDescent="0.2">
      <c r="A25" s="23" t="s">
        <v>62</v>
      </c>
      <c r="B25" s="23"/>
      <c r="C25" s="23"/>
      <c r="D25" s="23"/>
      <c r="E25" s="23"/>
      <c r="F25" s="23"/>
      <c r="G25" s="23"/>
      <c r="H25" s="23"/>
      <c r="I25" s="23"/>
      <c r="J25" s="24" t="s">
        <v>35</v>
      </c>
      <c r="K25" s="24"/>
      <c r="L25" s="24"/>
      <c r="M25" s="24" t="s">
        <v>63</v>
      </c>
      <c r="N25" s="24"/>
      <c r="O25" s="24"/>
      <c r="P25" s="25">
        <f>6350000</f>
        <v>6350000</v>
      </c>
      <c r="Q25" s="25"/>
      <c r="R25" s="25"/>
      <c r="S25" s="25">
        <f>-26758.09</f>
        <v>-26758.09</v>
      </c>
      <c r="T25" s="25"/>
      <c r="U25" s="25"/>
      <c r="V25" s="25"/>
      <c r="W25" s="25"/>
      <c r="X25" s="26">
        <f>6376758.09</f>
        <v>6376758.0899999999</v>
      </c>
      <c r="Y25" s="26"/>
      <c r="Z25" s="26"/>
    </row>
    <row r="26" spans="1:26" s="1" customFormat="1" ht="24" customHeight="1" x14ac:dyDescent="0.2">
      <c r="A26" s="23" t="s">
        <v>64</v>
      </c>
      <c r="B26" s="23"/>
      <c r="C26" s="23"/>
      <c r="D26" s="23"/>
      <c r="E26" s="23"/>
      <c r="F26" s="23"/>
      <c r="G26" s="23"/>
      <c r="H26" s="23"/>
      <c r="I26" s="23"/>
      <c r="J26" s="24" t="s">
        <v>35</v>
      </c>
      <c r="K26" s="24"/>
      <c r="L26" s="24"/>
      <c r="M26" s="24" t="s">
        <v>65</v>
      </c>
      <c r="N26" s="24"/>
      <c r="O26" s="24"/>
      <c r="P26" s="25">
        <f>2300000</f>
        <v>2300000</v>
      </c>
      <c r="Q26" s="25"/>
      <c r="R26" s="25"/>
      <c r="S26" s="25">
        <f>858331.43</f>
        <v>858331.43</v>
      </c>
      <c r="T26" s="25"/>
      <c r="U26" s="25"/>
      <c r="V26" s="25"/>
      <c r="W26" s="25"/>
      <c r="X26" s="26">
        <f>1441668.57</f>
        <v>1441668.57</v>
      </c>
      <c r="Y26" s="26"/>
      <c r="Z26" s="26"/>
    </row>
    <row r="27" spans="1:26" s="1" customFormat="1" ht="24" customHeight="1" x14ac:dyDescent="0.2">
      <c r="A27" s="23" t="s">
        <v>66</v>
      </c>
      <c r="B27" s="23"/>
      <c r="C27" s="23"/>
      <c r="D27" s="23"/>
      <c r="E27" s="23"/>
      <c r="F27" s="23"/>
      <c r="G27" s="23"/>
      <c r="H27" s="23"/>
      <c r="I27" s="23"/>
      <c r="J27" s="24" t="s">
        <v>35</v>
      </c>
      <c r="K27" s="24"/>
      <c r="L27" s="24"/>
      <c r="M27" s="24" t="s">
        <v>67</v>
      </c>
      <c r="N27" s="24"/>
      <c r="O27" s="24"/>
      <c r="P27" s="25">
        <f>4000000</f>
        <v>4000000</v>
      </c>
      <c r="Q27" s="25"/>
      <c r="R27" s="25"/>
      <c r="S27" s="25">
        <f>200631.95</f>
        <v>200631.95</v>
      </c>
      <c r="T27" s="25"/>
      <c r="U27" s="25"/>
      <c r="V27" s="25"/>
      <c r="W27" s="25"/>
      <c r="X27" s="26">
        <f>3799368.05</f>
        <v>3799368.05</v>
      </c>
      <c r="Y27" s="26"/>
      <c r="Z27" s="26"/>
    </row>
    <row r="28" spans="1:26" s="1" customFormat="1" ht="45" customHeight="1" x14ac:dyDescent="0.2">
      <c r="A28" s="23" t="s">
        <v>68</v>
      </c>
      <c r="B28" s="23"/>
      <c r="C28" s="23"/>
      <c r="D28" s="23"/>
      <c r="E28" s="23"/>
      <c r="F28" s="23"/>
      <c r="G28" s="23"/>
      <c r="H28" s="23"/>
      <c r="I28" s="23"/>
      <c r="J28" s="24" t="s">
        <v>35</v>
      </c>
      <c r="K28" s="24"/>
      <c r="L28" s="24"/>
      <c r="M28" s="24" t="s">
        <v>69</v>
      </c>
      <c r="N28" s="24"/>
      <c r="O28" s="24"/>
      <c r="P28" s="25">
        <f>150000</f>
        <v>150000</v>
      </c>
      <c r="Q28" s="25"/>
      <c r="R28" s="25"/>
      <c r="S28" s="28" t="s">
        <v>45</v>
      </c>
      <c r="T28" s="28"/>
      <c r="U28" s="28"/>
      <c r="V28" s="28"/>
      <c r="W28" s="28"/>
      <c r="X28" s="26">
        <f>150000</f>
        <v>150000</v>
      </c>
      <c r="Y28" s="26"/>
      <c r="Z28" s="26"/>
    </row>
    <row r="29" spans="1:26" s="1" customFormat="1" ht="33.950000000000003" customHeight="1" x14ac:dyDescent="0.2">
      <c r="A29" s="23" t="s">
        <v>70</v>
      </c>
      <c r="B29" s="23"/>
      <c r="C29" s="23"/>
      <c r="D29" s="23"/>
      <c r="E29" s="23"/>
      <c r="F29" s="23"/>
      <c r="G29" s="23"/>
      <c r="H29" s="23"/>
      <c r="I29" s="23"/>
      <c r="J29" s="24" t="s">
        <v>35</v>
      </c>
      <c r="K29" s="24"/>
      <c r="L29" s="24"/>
      <c r="M29" s="24" t="s">
        <v>71</v>
      </c>
      <c r="N29" s="24"/>
      <c r="O29" s="24"/>
      <c r="P29" s="25">
        <f>45000</f>
        <v>45000</v>
      </c>
      <c r="Q29" s="25"/>
      <c r="R29" s="25"/>
      <c r="S29" s="25">
        <f>3732.45</f>
        <v>3732.45</v>
      </c>
      <c r="T29" s="25"/>
      <c r="U29" s="25"/>
      <c r="V29" s="25"/>
      <c r="W29" s="25"/>
      <c r="X29" s="26">
        <f>41267.55</f>
        <v>41267.550000000003</v>
      </c>
      <c r="Y29" s="26"/>
      <c r="Z29" s="26"/>
    </row>
    <row r="30" spans="1:26" s="1" customFormat="1" ht="54.95" customHeight="1" x14ac:dyDescent="0.2">
      <c r="A30" s="23" t="s">
        <v>72</v>
      </c>
      <c r="B30" s="23"/>
      <c r="C30" s="23"/>
      <c r="D30" s="23"/>
      <c r="E30" s="23"/>
      <c r="F30" s="23"/>
      <c r="G30" s="23"/>
      <c r="H30" s="23"/>
      <c r="I30" s="23"/>
      <c r="J30" s="24" t="s">
        <v>35</v>
      </c>
      <c r="K30" s="24"/>
      <c r="L30" s="24"/>
      <c r="M30" s="24" t="s">
        <v>73</v>
      </c>
      <c r="N30" s="24"/>
      <c r="O30" s="24"/>
      <c r="P30" s="25">
        <f>64000</f>
        <v>64000</v>
      </c>
      <c r="Q30" s="25"/>
      <c r="R30" s="25"/>
      <c r="S30" s="25">
        <f>12000</f>
        <v>12000</v>
      </c>
      <c r="T30" s="25"/>
      <c r="U30" s="25"/>
      <c r="V30" s="25"/>
      <c r="W30" s="25"/>
      <c r="X30" s="26">
        <f>52000</f>
        <v>52000</v>
      </c>
      <c r="Y30" s="26"/>
      <c r="Z30" s="26"/>
    </row>
    <row r="31" spans="1:26" s="1" customFormat="1" ht="14.1" customHeight="1" x14ac:dyDescent="0.2">
      <c r="A31" s="23" t="s">
        <v>74</v>
      </c>
      <c r="B31" s="23"/>
      <c r="C31" s="23"/>
      <c r="D31" s="23"/>
      <c r="E31" s="23"/>
      <c r="F31" s="23"/>
      <c r="G31" s="23"/>
      <c r="H31" s="23"/>
      <c r="I31" s="23"/>
      <c r="J31" s="24" t="s">
        <v>35</v>
      </c>
      <c r="K31" s="24"/>
      <c r="L31" s="24"/>
      <c r="M31" s="24" t="s">
        <v>75</v>
      </c>
      <c r="N31" s="24"/>
      <c r="O31" s="24"/>
      <c r="P31" s="28" t="s">
        <v>45</v>
      </c>
      <c r="Q31" s="28"/>
      <c r="R31" s="28"/>
      <c r="S31" s="25">
        <f>5.62</f>
        <v>5.62</v>
      </c>
      <c r="T31" s="25"/>
      <c r="U31" s="25"/>
      <c r="V31" s="25"/>
      <c r="W31" s="25"/>
      <c r="X31" s="27" t="s">
        <v>45</v>
      </c>
      <c r="Y31" s="27"/>
      <c r="Z31" s="27"/>
    </row>
    <row r="32" spans="1:26" s="1" customFormat="1" ht="45" customHeight="1" x14ac:dyDescent="0.2">
      <c r="A32" s="23" t="s">
        <v>76</v>
      </c>
      <c r="B32" s="23"/>
      <c r="C32" s="23"/>
      <c r="D32" s="23"/>
      <c r="E32" s="23"/>
      <c r="F32" s="23"/>
      <c r="G32" s="23"/>
      <c r="H32" s="23"/>
      <c r="I32" s="23"/>
      <c r="J32" s="24" t="s">
        <v>35</v>
      </c>
      <c r="K32" s="24"/>
      <c r="L32" s="24"/>
      <c r="M32" s="24" t="s">
        <v>77</v>
      </c>
      <c r="N32" s="24"/>
      <c r="O32" s="24"/>
      <c r="P32" s="25">
        <f>5000</f>
        <v>5000</v>
      </c>
      <c r="Q32" s="25"/>
      <c r="R32" s="25"/>
      <c r="S32" s="28" t="s">
        <v>45</v>
      </c>
      <c r="T32" s="28"/>
      <c r="U32" s="28"/>
      <c r="V32" s="28"/>
      <c r="W32" s="28"/>
      <c r="X32" s="26">
        <f>5000</f>
        <v>5000</v>
      </c>
      <c r="Y32" s="26"/>
      <c r="Z32" s="26"/>
    </row>
    <row r="33" spans="1:26" s="1" customFormat="1" ht="24" customHeight="1" x14ac:dyDescent="0.2">
      <c r="A33" s="23" t="s">
        <v>78</v>
      </c>
      <c r="B33" s="23"/>
      <c r="C33" s="23"/>
      <c r="D33" s="23"/>
      <c r="E33" s="23"/>
      <c r="F33" s="23"/>
      <c r="G33" s="23"/>
      <c r="H33" s="23"/>
      <c r="I33" s="23"/>
      <c r="J33" s="24" t="s">
        <v>35</v>
      </c>
      <c r="K33" s="24"/>
      <c r="L33" s="24"/>
      <c r="M33" s="24" t="s">
        <v>79</v>
      </c>
      <c r="N33" s="24"/>
      <c r="O33" s="24"/>
      <c r="P33" s="25">
        <f>11098000</f>
        <v>11098000</v>
      </c>
      <c r="Q33" s="25"/>
      <c r="R33" s="25"/>
      <c r="S33" s="25">
        <f>2774500</f>
        <v>2774500</v>
      </c>
      <c r="T33" s="25"/>
      <c r="U33" s="25"/>
      <c r="V33" s="25"/>
      <c r="W33" s="25"/>
      <c r="X33" s="26">
        <f>8323500</f>
        <v>8323500</v>
      </c>
      <c r="Y33" s="26"/>
      <c r="Z33" s="26"/>
    </row>
    <row r="34" spans="1:26" s="1" customFormat="1" ht="24" customHeight="1" x14ac:dyDescent="0.2">
      <c r="A34" s="23" t="s">
        <v>80</v>
      </c>
      <c r="B34" s="23"/>
      <c r="C34" s="23"/>
      <c r="D34" s="23"/>
      <c r="E34" s="23"/>
      <c r="F34" s="23"/>
      <c r="G34" s="23"/>
      <c r="H34" s="23"/>
      <c r="I34" s="23"/>
      <c r="J34" s="24" t="s">
        <v>35</v>
      </c>
      <c r="K34" s="24"/>
      <c r="L34" s="24"/>
      <c r="M34" s="24" t="s">
        <v>81</v>
      </c>
      <c r="N34" s="24"/>
      <c r="O34" s="24"/>
      <c r="P34" s="25">
        <f>147215300</f>
        <v>147215300</v>
      </c>
      <c r="Q34" s="25"/>
      <c r="R34" s="25"/>
      <c r="S34" s="28" t="s">
        <v>45</v>
      </c>
      <c r="T34" s="28"/>
      <c r="U34" s="28"/>
      <c r="V34" s="28"/>
      <c r="W34" s="28"/>
      <c r="X34" s="26">
        <f>147215300</f>
        <v>147215300</v>
      </c>
      <c r="Y34" s="26"/>
      <c r="Z34" s="26"/>
    </row>
    <row r="35" spans="1:26" s="1" customFormat="1" ht="24" customHeight="1" x14ac:dyDescent="0.2">
      <c r="A35" s="23" t="s">
        <v>82</v>
      </c>
      <c r="B35" s="23"/>
      <c r="C35" s="23"/>
      <c r="D35" s="23"/>
      <c r="E35" s="23"/>
      <c r="F35" s="23"/>
      <c r="G35" s="23"/>
      <c r="H35" s="23"/>
      <c r="I35" s="23"/>
      <c r="J35" s="24" t="s">
        <v>35</v>
      </c>
      <c r="K35" s="24"/>
      <c r="L35" s="24"/>
      <c r="M35" s="24" t="s">
        <v>83</v>
      </c>
      <c r="N35" s="24"/>
      <c r="O35" s="24"/>
      <c r="P35" s="25">
        <f>7600</f>
        <v>7600</v>
      </c>
      <c r="Q35" s="25"/>
      <c r="R35" s="25"/>
      <c r="S35" s="28" t="s">
        <v>45</v>
      </c>
      <c r="T35" s="28"/>
      <c r="U35" s="28"/>
      <c r="V35" s="28"/>
      <c r="W35" s="28"/>
      <c r="X35" s="26">
        <f>7600</f>
        <v>7600</v>
      </c>
      <c r="Y35" s="26"/>
      <c r="Z35" s="26"/>
    </row>
    <row r="36" spans="1:26" s="1" customFormat="1" ht="33.950000000000003" customHeight="1" x14ac:dyDescent="0.2">
      <c r="A36" s="23" t="s">
        <v>84</v>
      </c>
      <c r="B36" s="23"/>
      <c r="C36" s="23"/>
      <c r="D36" s="23"/>
      <c r="E36" s="23"/>
      <c r="F36" s="23"/>
      <c r="G36" s="23"/>
      <c r="H36" s="23"/>
      <c r="I36" s="23"/>
      <c r="J36" s="24" t="s">
        <v>35</v>
      </c>
      <c r="K36" s="24"/>
      <c r="L36" s="24"/>
      <c r="M36" s="24" t="s">
        <v>85</v>
      </c>
      <c r="N36" s="24"/>
      <c r="O36" s="24"/>
      <c r="P36" s="25">
        <f>709300</f>
        <v>709300</v>
      </c>
      <c r="Q36" s="25"/>
      <c r="R36" s="25"/>
      <c r="S36" s="25">
        <f>115516.66</f>
        <v>115516.66</v>
      </c>
      <c r="T36" s="25"/>
      <c r="U36" s="25"/>
      <c r="V36" s="25"/>
      <c r="W36" s="25"/>
      <c r="X36" s="26">
        <f>593783.34</f>
        <v>593783.34</v>
      </c>
      <c r="Y36" s="26"/>
      <c r="Z36" s="26"/>
    </row>
    <row r="37" spans="1:26" s="1" customFormat="1" ht="45" customHeight="1" x14ac:dyDescent="0.2">
      <c r="A37" s="23" t="s">
        <v>86</v>
      </c>
      <c r="B37" s="23"/>
      <c r="C37" s="23"/>
      <c r="D37" s="23"/>
      <c r="E37" s="23"/>
      <c r="F37" s="23"/>
      <c r="G37" s="23"/>
      <c r="H37" s="23"/>
      <c r="I37" s="23"/>
      <c r="J37" s="24" t="s">
        <v>35</v>
      </c>
      <c r="K37" s="24"/>
      <c r="L37" s="24"/>
      <c r="M37" s="24" t="s">
        <v>87</v>
      </c>
      <c r="N37" s="24"/>
      <c r="O37" s="24"/>
      <c r="P37" s="25">
        <f>1138329.5</f>
        <v>1138329.5</v>
      </c>
      <c r="Q37" s="25"/>
      <c r="R37" s="25"/>
      <c r="S37" s="25">
        <f>1138329.5</f>
        <v>1138329.5</v>
      </c>
      <c r="T37" s="25"/>
      <c r="U37" s="25"/>
      <c r="V37" s="25"/>
      <c r="W37" s="25"/>
      <c r="X37" s="26">
        <f>0</f>
        <v>0</v>
      </c>
      <c r="Y37" s="26"/>
      <c r="Z37" s="26"/>
    </row>
    <row r="38" spans="1:26" s="1" customFormat="1" ht="14.1" customHeight="1" x14ac:dyDescent="0.2">
      <c r="A38" s="23" t="s">
        <v>88</v>
      </c>
      <c r="B38" s="23"/>
      <c r="C38" s="23"/>
      <c r="D38" s="23"/>
      <c r="E38" s="23"/>
      <c r="F38" s="23"/>
      <c r="G38" s="23"/>
      <c r="H38" s="23"/>
      <c r="I38" s="23"/>
      <c r="J38" s="24" t="s">
        <v>35</v>
      </c>
      <c r="K38" s="24"/>
      <c r="L38" s="24"/>
      <c r="M38" s="24" t="s">
        <v>89</v>
      </c>
      <c r="N38" s="24"/>
      <c r="O38" s="24"/>
      <c r="P38" s="25">
        <f>100000</f>
        <v>100000</v>
      </c>
      <c r="Q38" s="25"/>
      <c r="R38" s="25"/>
      <c r="S38" s="25">
        <f>19200</f>
        <v>19200</v>
      </c>
      <c r="T38" s="25"/>
      <c r="U38" s="25"/>
      <c r="V38" s="25"/>
      <c r="W38" s="25"/>
      <c r="X38" s="26">
        <f>80800</f>
        <v>80800</v>
      </c>
      <c r="Y38" s="26"/>
      <c r="Z38" s="26"/>
    </row>
    <row r="39" spans="1:26" s="1" customFormat="1" ht="54.95" customHeight="1" x14ac:dyDescent="0.2">
      <c r="A39" s="23" t="s">
        <v>90</v>
      </c>
      <c r="B39" s="23"/>
      <c r="C39" s="23"/>
      <c r="D39" s="23"/>
      <c r="E39" s="23"/>
      <c r="F39" s="23"/>
      <c r="G39" s="23"/>
      <c r="H39" s="23"/>
      <c r="I39" s="23"/>
      <c r="J39" s="24" t="s">
        <v>35</v>
      </c>
      <c r="K39" s="24"/>
      <c r="L39" s="24"/>
      <c r="M39" s="24" t="s">
        <v>91</v>
      </c>
      <c r="N39" s="24"/>
      <c r="O39" s="24"/>
      <c r="P39" s="28" t="s">
        <v>45</v>
      </c>
      <c r="Q39" s="28"/>
      <c r="R39" s="28"/>
      <c r="S39" s="25">
        <f>-70587.77</f>
        <v>-70587.77</v>
      </c>
      <c r="T39" s="25"/>
      <c r="U39" s="25"/>
      <c r="V39" s="25"/>
      <c r="W39" s="25"/>
      <c r="X39" s="27" t="s">
        <v>45</v>
      </c>
      <c r="Y39" s="27"/>
      <c r="Z39" s="27"/>
    </row>
    <row r="40" spans="1:26" s="1" customFormat="1" ht="14.1" customHeight="1" x14ac:dyDescent="0.2">
      <c r="A40" s="29" t="s">
        <v>10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s="1" customFormat="1" ht="14.1" customHeight="1" x14ac:dyDescent="0.2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s="1" customFormat="1" ht="35.1" customHeight="1" x14ac:dyDescent="0.2">
      <c r="A42" s="13" t="s">
        <v>22</v>
      </c>
      <c r="B42" s="13"/>
      <c r="C42" s="13"/>
      <c r="D42" s="13"/>
      <c r="E42" s="13"/>
      <c r="F42" s="13"/>
      <c r="G42" s="13"/>
      <c r="H42" s="13"/>
      <c r="I42" s="13" t="s">
        <v>23</v>
      </c>
      <c r="J42" s="13"/>
      <c r="K42" s="13"/>
      <c r="L42" s="13" t="s">
        <v>93</v>
      </c>
      <c r="M42" s="13"/>
      <c r="N42" s="13"/>
      <c r="O42" s="14" t="s">
        <v>94</v>
      </c>
      <c r="P42" s="14"/>
      <c r="Q42" s="14" t="s">
        <v>25</v>
      </c>
      <c r="R42" s="14"/>
      <c r="S42" s="14"/>
      <c r="T42" s="14" t="s">
        <v>26</v>
      </c>
      <c r="U42" s="14"/>
      <c r="V42" s="14"/>
      <c r="W42" s="14"/>
      <c r="X42" s="14"/>
      <c r="Y42" s="15" t="s">
        <v>27</v>
      </c>
      <c r="Z42" s="15"/>
    </row>
    <row r="43" spans="1:26" s="1" customFormat="1" ht="14.1" customHeight="1" x14ac:dyDescent="0.2">
      <c r="A43" s="16" t="s">
        <v>28</v>
      </c>
      <c r="B43" s="16"/>
      <c r="C43" s="16"/>
      <c r="D43" s="16"/>
      <c r="E43" s="16"/>
      <c r="F43" s="16"/>
      <c r="G43" s="16"/>
      <c r="H43" s="16"/>
      <c r="I43" s="16" t="s">
        <v>29</v>
      </c>
      <c r="J43" s="16"/>
      <c r="K43" s="16"/>
      <c r="L43" s="16" t="s">
        <v>30</v>
      </c>
      <c r="M43" s="16"/>
      <c r="N43" s="16"/>
      <c r="O43" s="17" t="s">
        <v>31</v>
      </c>
      <c r="P43" s="17"/>
      <c r="Q43" s="17" t="s">
        <v>32</v>
      </c>
      <c r="R43" s="17"/>
      <c r="S43" s="17"/>
      <c r="T43" s="17" t="s">
        <v>33</v>
      </c>
      <c r="U43" s="17"/>
      <c r="V43" s="17"/>
      <c r="W43" s="17"/>
      <c r="X43" s="17"/>
      <c r="Y43" s="18" t="s">
        <v>95</v>
      </c>
      <c r="Z43" s="18"/>
    </row>
    <row r="44" spans="1:26" s="1" customFormat="1" ht="14.1" customHeight="1" x14ac:dyDescent="0.2">
      <c r="A44" s="19" t="s">
        <v>96</v>
      </c>
      <c r="B44" s="19"/>
      <c r="C44" s="19"/>
      <c r="D44" s="19"/>
      <c r="E44" s="19"/>
      <c r="F44" s="19"/>
      <c r="G44" s="19"/>
      <c r="H44" s="19"/>
      <c r="I44" s="20" t="s">
        <v>97</v>
      </c>
      <c r="J44" s="20"/>
      <c r="K44" s="20"/>
      <c r="L44" s="20" t="s">
        <v>36</v>
      </c>
      <c r="M44" s="20"/>
      <c r="N44" s="20"/>
      <c r="O44" s="30" t="s">
        <v>36</v>
      </c>
      <c r="P44" s="30"/>
      <c r="Q44" s="21">
        <f>247163025.16</f>
        <v>247163025.16</v>
      </c>
      <c r="R44" s="21"/>
      <c r="S44" s="21"/>
      <c r="T44" s="21">
        <f>13513235.69</f>
        <v>13513235.689999999</v>
      </c>
      <c r="U44" s="21"/>
      <c r="V44" s="21"/>
      <c r="W44" s="21"/>
      <c r="X44" s="21"/>
      <c r="Y44" s="22">
        <f>233649789.47</f>
        <v>233649789.47</v>
      </c>
      <c r="Z44" s="22"/>
    </row>
    <row r="45" spans="1:26" s="1" customFormat="1" ht="14.1" customHeight="1" x14ac:dyDescent="0.2">
      <c r="A45" s="33" t="s">
        <v>98</v>
      </c>
      <c r="B45" s="33"/>
      <c r="C45" s="33"/>
      <c r="D45" s="33"/>
      <c r="E45" s="33"/>
      <c r="F45" s="33"/>
      <c r="G45" s="33"/>
      <c r="H45" s="33"/>
      <c r="I45" s="34" t="s">
        <v>97</v>
      </c>
      <c r="J45" s="34"/>
      <c r="K45" s="34"/>
      <c r="L45" s="34" t="s">
        <v>99</v>
      </c>
      <c r="M45" s="34"/>
      <c r="N45" s="34"/>
      <c r="O45" s="35" t="s">
        <v>100</v>
      </c>
      <c r="P45" s="35"/>
      <c r="Q45" s="31">
        <f>1050000</f>
        <v>1050000</v>
      </c>
      <c r="R45" s="31"/>
      <c r="S45" s="31"/>
      <c r="T45" s="31">
        <f>197752</f>
        <v>197752</v>
      </c>
      <c r="U45" s="31"/>
      <c r="V45" s="31"/>
      <c r="W45" s="31"/>
      <c r="X45" s="31"/>
      <c r="Y45" s="32">
        <f>852248</f>
        <v>852248</v>
      </c>
      <c r="Z45" s="32"/>
    </row>
    <row r="46" spans="1:26" s="1" customFormat="1" ht="14.1" customHeight="1" x14ac:dyDescent="0.2">
      <c r="A46" s="33" t="s">
        <v>101</v>
      </c>
      <c r="B46" s="33"/>
      <c r="C46" s="33"/>
      <c r="D46" s="33"/>
      <c r="E46" s="33"/>
      <c r="F46" s="33"/>
      <c r="G46" s="33"/>
      <c r="H46" s="33"/>
      <c r="I46" s="34" t="s">
        <v>97</v>
      </c>
      <c r="J46" s="34"/>
      <c r="K46" s="34"/>
      <c r="L46" s="34" t="s">
        <v>102</v>
      </c>
      <c r="M46" s="34"/>
      <c r="N46" s="34"/>
      <c r="O46" s="35" t="s">
        <v>103</v>
      </c>
      <c r="P46" s="35"/>
      <c r="Q46" s="31">
        <f>318500</f>
        <v>318500</v>
      </c>
      <c r="R46" s="31"/>
      <c r="S46" s="31"/>
      <c r="T46" s="31">
        <f>47776.88</f>
        <v>47776.88</v>
      </c>
      <c r="U46" s="31"/>
      <c r="V46" s="31"/>
      <c r="W46" s="31"/>
      <c r="X46" s="31"/>
      <c r="Y46" s="32">
        <f>270723.12</f>
        <v>270723.12</v>
      </c>
      <c r="Z46" s="32"/>
    </row>
    <row r="47" spans="1:26" s="1" customFormat="1" ht="14.1" customHeight="1" x14ac:dyDescent="0.2">
      <c r="A47" s="33" t="s">
        <v>98</v>
      </c>
      <c r="B47" s="33"/>
      <c r="C47" s="33"/>
      <c r="D47" s="33"/>
      <c r="E47" s="33"/>
      <c r="F47" s="33"/>
      <c r="G47" s="33"/>
      <c r="H47" s="33"/>
      <c r="I47" s="34" t="s">
        <v>97</v>
      </c>
      <c r="J47" s="34"/>
      <c r="K47" s="34"/>
      <c r="L47" s="34" t="s">
        <v>104</v>
      </c>
      <c r="M47" s="34"/>
      <c r="N47" s="34"/>
      <c r="O47" s="35" t="s">
        <v>100</v>
      </c>
      <c r="P47" s="35"/>
      <c r="Q47" s="31">
        <f>5992832.6</f>
        <v>5992832.5999999996</v>
      </c>
      <c r="R47" s="31"/>
      <c r="S47" s="31"/>
      <c r="T47" s="31">
        <f>1255554.8</f>
        <v>1255554.8</v>
      </c>
      <c r="U47" s="31"/>
      <c r="V47" s="31"/>
      <c r="W47" s="31"/>
      <c r="X47" s="31"/>
      <c r="Y47" s="32">
        <f>4737277.8</f>
        <v>4737277.8</v>
      </c>
      <c r="Z47" s="32"/>
    </row>
    <row r="48" spans="1:26" s="1" customFormat="1" ht="14.1" customHeight="1" x14ac:dyDescent="0.2">
      <c r="A48" s="33" t="s">
        <v>105</v>
      </c>
      <c r="B48" s="33"/>
      <c r="C48" s="33"/>
      <c r="D48" s="33"/>
      <c r="E48" s="33"/>
      <c r="F48" s="33"/>
      <c r="G48" s="33"/>
      <c r="H48" s="33"/>
      <c r="I48" s="34" t="s">
        <v>97</v>
      </c>
      <c r="J48" s="34"/>
      <c r="K48" s="34"/>
      <c r="L48" s="34" t="s">
        <v>104</v>
      </c>
      <c r="M48" s="34"/>
      <c r="N48" s="34"/>
      <c r="O48" s="35" t="s">
        <v>106</v>
      </c>
      <c r="P48" s="35"/>
      <c r="Q48" s="31">
        <f>30000</f>
        <v>30000</v>
      </c>
      <c r="R48" s="31"/>
      <c r="S48" s="31"/>
      <c r="T48" s="31">
        <f>22384.56</f>
        <v>22384.560000000001</v>
      </c>
      <c r="U48" s="31"/>
      <c r="V48" s="31"/>
      <c r="W48" s="31"/>
      <c r="X48" s="31"/>
      <c r="Y48" s="32">
        <f>7615.44</f>
        <v>7615.44</v>
      </c>
      <c r="Z48" s="32"/>
    </row>
    <row r="49" spans="1:26" s="1" customFormat="1" ht="14.1" customHeight="1" x14ac:dyDescent="0.2">
      <c r="A49" s="33" t="s">
        <v>101</v>
      </c>
      <c r="B49" s="33"/>
      <c r="C49" s="33"/>
      <c r="D49" s="33"/>
      <c r="E49" s="33"/>
      <c r="F49" s="33"/>
      <c r="G49" s="33"/>
      <c r="H49" s="33"/>
      <c r="I49" s="34" t="s">
        <v>97</v>
      </c>
      <c r="J49" s="34"/>
      <c r="K49" s="34"/>
      <c r="L49" s="34" t="s">
        <v>107</v>
      </c>
      <c r="M49" s="34"/>
      <c r="N49" s="34"/>
      <c r="O49" s="35" t="s">
        <v>103</v>
      </c>
      <c r="P49" s="35"/>
      <c r="Q49" s="31">
        <f>2605867.4</f>
        <v>2605867.4</v>
      </c>
      <c r="R49" s="31"/>
      <c r="S49" s="31"/>
      <c r="T49" s="31">
        <f>285037.57</f>
        <v>285037.57</v>
      </c>
      <c r="U49" s="31"/>
      <c r="V49" s="31"/>
      <c r="W49" s="31"/>
      <c r="X49" s="31"/>
      <c r="Y49" s="32">
        <f>2320829.83</f>
        <v>2320829.83</v>
      </c>
      <c r="Z49" s="32"/>
    </row>
    <row r="50" spans="1:26" s="1" customFormat="1" ht="14.1" customHeight="1" x14ac:dyDescent="0.2">
      <c r="A50" s="33" t="s">
        <v>108</v>
      </c>
      <c r="B50" s="33"/>
      <c r="C50" s="33"/>
      <c r="D50" s="33"/>
      <c r="E50" s="33"/>
      <c r="F50" s="33"/>
      <c r="G50" s="33"/>
      <c r="H50" s="33"/>
      <c r="I50" s="34" t="s">
        <v>97</v>
      </c>
      <c r="J50" s="34"/>
      <c r="K50" s="34"/>
      <c r="L50" s="34" t="s">
        <v>109</v>
      </c>
      <c r="M50" s="34"/>
      <c r="N50" s="34"/>
      <c r="O50" s="35" t="s">
        <v>110</v>
      </c>
      <c r="P50" s="35"/>
      <c r="Q50" s="31">
        <f>7600</f>
        <v>7600</v>
      </c>
      <c r="R50" s="31"/>
      <c r="S50" s="31"/>
      <c r="T50" s="36" t="s">
        <v>45</v>
      </c>
      <c r="U50" s="36"/>
      <c r="V50" s="36"/>
      <c r="W50" s="36"/>
      <c r="X50" s="36"/>
      <c r="Y50" s="32">
        <f>7600</f>
        <v>7600</v>
      </c>
      <c r="Z50" s="32"/>
    </row>
    <row r="51" spans="1:26" s="1" customFormat="1" ht="24" customHeight="1" x14ac:dyDescent="0.2">
      <c r="A51" s="33" t="s">
        <v>111</v>
      </c>
      <c r="B51" s="33"/>
      <c r="C51" s="33"/>
      <c r="D51" s="33"/>
      <c r="E51" s="33"/>
      <c r="F51" s="33"/>
      <c r="G51" s="33"/>
      <c r="H51" s="33"/>
      <c r="I51" s="34" t="s">
        <v>97</v>
      </c>
      <c r="J51" s="34"/>
      <c r="K51" s="34"/>
      <c r="L51" s="34" t="s">
        <v>112</v>
      </c>
      <c r="M51" s="34"/>
      <c r="N51" s="34"/>
      <c r="O51" s="35" t="s">
        <v>113</v>
      </c>
      <c r="P51" s="35"/>
      <c r="Q51" s="31">
        <f>344300</f>
        <v>344300</v>
      </c>
      <c r="R51" s="31"/>
      <c r="S51" s="31"/>
      <c r="T51" s="31">
        <f>344300</f>
        <v>344300</v>
      </c>
      <c r="U51" s="31"/>
      <c r="V51" s="31"/>
      <c r="W51" s="31"/>
      <c r="X51" s="31"/>
      <c r="Y51" s="32">
        <f>0</f>
        <v>0</v>
      </c>
      <c r="Z51" s="32"/>
    </row>
    <row r="52" spans="1:26" s="1" customFormat="1" ht="24" customHeight="1" x14ac:dyDescent="0.2">
      <c r="A52" s="33" t="s">
        <v>111</v>
      </c>
      <c r="B52" s="33"/>
      <c r="C52" s="33"/>
      <c r="D52" s="33"/>
      <c r="E52" s="33"/>
      <c r="F52" s="33"/>
      <c r="G52" s="33"/>
      <c r="H52" s="33"/>
      <c r="I52" s="34" t="s">
        <v>97</v>
      </c>
      <c r="J52" s="34"/>
      <c r="K52" s="34"/>
      <c r="L52" s="34" t="s">
        <v>114</v>
      </c>
      <c r="M52" s="34"/>
      <c r="N52" s="34"/>
      <c r="O52" s="35" t="s">
        <v>113</v>
      </c>
      <c r="P52" s="35"/>
      <c r="Q52" s="31">
        <f>82200</f>
        <v>82200</v>
      </c>
      <c r="R52" s="31"/>
      <c r="S52" s="31"/>
      <c r="T52" s="31">
        <f>82200</f>
        <v>82200</v>
      </c>
      <c r="U52" s="31"/>
      <c r="V52" s="31"/>
      <c r="W52" s="31"/>
      <c r="X52" s="31"/>
      <c r="Y52" s="32">
        <f>0</f>
        <v>0</v>
      </c>
      <c r="Z52" s="32"/>
    </row>
    <row r="53" spans="1:26" s="1" customFormat="1" ht="24" customHeight="1" x14ac:dyDescent="0.2">
      <c r="A53" s="33" t="s">
        <v>111</v>
      </c>
      <c r="B53" s="33"/>
      <c r="C53" s="33"/>
      <c r="D53" s="33"/>
      <c r="E53" s="33"/>
      <c r="F53" s="33"/>
      <c r="G53" s="33"/>
      <c r="H53" s="33"/>
      <c r="I53" s="34" t="s">
        <v>97</v>
      </c>
      <c r="J53" s="34"/>
      <c r="K53" s="34"/>
      <c r="L53" s="34" t="s">
        <v>115</v>
      </c>
      <c r="M53" s="34"/>
      <c r="N53" s="34"/>
      <c r="O53" s="35" t="s">
        <v>113</v>
      </c>
      <c r="P53" s="35"/>
      <c r="Q53" s="31">
        <f>202200</f>
        <v>202200</v>
      </c>
      <c r="R53" s="31"/>
      <c r="S53" s="31"/>
      <c r="T53" s="31">
        <f>202200</f>
        <v>202200</v>
      </c>
      <c r="U53" s="31"/>
      <c r="V53" s="31"/>
      <c r="W53" s="31"/>
      <c r="X53" s="31"/>
      <c r="Y53" s="32">
        <f>0</f>
        <v>0</v>
      </c>
      <c r="Z53" s="32"/>
    </row>
    <row r="54" spans="1:26" s="1" customFormat="1" ht="14.1" customHeight="1" x14ac:dyDescent="0.2">
      <c r="A54" s="33" t="s">
        <v>116</v>
      </c>
      <c r="B54" s="33"/>
      <c r="C54" s="33"/>
      <c r="D54" s="33"/>
      <c r="E54" s="33"/>
      <c r="F54" s="33"/>
      <c r="G54" s="33"/>
      <c r="H54" s="33"/>
      <c r="I54" s="34" t="s">
        <v>97</v>
      </c>
      <c r="J54" s="34"/>
      <c r="K54" s="34"/>
      <c r="L54" s="34" t="s">
        <v>117</v>
      </c>
      <c r="M54" s="34"/>
      <c r="N54" s="34"/>
      <c r="O54" s="35" t="s">
        <v>118</v>
      </c>
      <c r="P54" s="35"/>
      <c r="Q54" s="31">
        <f>1000000</f>
        <v>1000000</v>
      </c>
      <c r="R54" s="31"/>
      <c r="S54" s="31"/>
      <c r="T54" s="36" t="s">
        <v>45</v>
      </c>
      <c r="U54" s="36"/>
      <c r="V54" s="36"/>
      <c r="W54" s="36"/>
      <c r="X54" s="36"/>
      <c r="Y54" s="32">
        <f>1000000</f>
        <v>1000000</v>
      </c>
      <c r="Z54" s="32"/>
    </row>
    <row r="55" spans="1:26" s="1" customFormat="1" ht="14.1" customHeight="1" x14ac:dyDescent="0.2">
      <c r="A55" s="33" t="s">
        <v>119</v>
      </c>
      <c r="B55" s="33"/>
      <c r="C55" s="33"/>
      <c r="D55" s="33"/>
      <c r="E55" s="33"/>
      <c r="F55" s="33"/>
      <c r="G55" s="33"/>
      <c r="H55" s="33"/>
      <c r="I55" s="34" t="s">
        <v>97</v>
      </c>
      <c r="J55" s="34"/>
      <c r="K55" s="34"/>
      <c r="L55" s="34" t="s">
        <v>120</v>
      </c>
      <c r="M55" s="34"/>
      <c r="N55" s="34"/>
      <c r="O55" s="35" t="s">
        <v>121</v>
      </c>
      <c r="P55" s="35"/>
      <c r="Q55" s="31">
        <f>50000</f>
        <v>50000</v>
      </c>
      <c r="R55" s="31"/>
      <c r="S55" s="31"/>
      <c r="T55" s="36" t="s">
        <v>45</v>
      </c>
      <c r="U55" s="36"/>
      <c r="V55" s="36"/>
      <c r="W55" s="36"/>
      <c r="X55" s="36"/>
      <c r="Y55" s="32">
        <f>50000</f>
        <v>50000</v>
      </c>
      <c r="Z55" s="32"/>
    </row>
    <row r="56" spans="1:26" s="1" customFormat="1" ht="14.1" customHeight="1" x14ac:dyDescent="0.2">
      <c r="A56" s="33" t="s">
        <v>122</v>
      </c>
      <c r="B56" s="33"/>
      <c r="C56" s="33"/>
      <c r="D56" s="33"/>
      <c r="E56" s="33"/>
      <c r="F56" s="33"/>
      <c r="G56" s="33"/>
      <c r="H56" s="33"/>
      <c r="I56" s="34" t="s">
        <v>97</v>
      </c>
      <c r="J56" s="34"/>
      <c r="K56" s="34"/>
      <c r="L56" s="34" t="s">
        <v>123</v>
      </c>
      <c r="M56" s="34"/>
      <c r="N56" s="34"/>
      <c r="O56" s="35" t="s">
        <v>124</v>
      </c>
      <c r="P56" s="35"/>
      <c r="Q56" s="31">
        <f>55000</f>
        <v>55000</v>
      </c>
      <c r="R56" s="31"/>
      <c r="S56" s="31"/>
      <c r="T56" s="31">
        <f>10772.46</f>
        <v>10772.46</v>
      </c>
      <c r="U56" s="31"/>
      <c r="V56" s="31"/>
      <c r="W56" s="31"/>
      <c r="X56" s="31"/>
      <c r="Y56" s="32">
        <f>44227.54</f>
        <v>44227.54</v>
      </c>
      <c r="Z56" s="32"/>
    </row>
    <row r="57" spans="1:26" s="1" customFormat="1" ht="14.1" customHeight="1" x14ac:dyDescent="0.2">
      <c r="A57" s="33" t="s">
        <v>125</v>
      </c>
      <c r="B57" s="33"/>
      <c r="C57" s="33"/>
      <c r="D57" s="33"/>
      <c r="E57" s="33"/>
      <c r="F57" s="33"/>
      <c r="G57" s="33"/>
      <c r="H57" s="33"/>
      <c r="I57" s="34" t="s">
        <v>97</v>
      </c>
      <c r="J57" s="34"/>
      <c r="K57" s="34"/>
      <c r="L57" s="34" t="s">
        <v>123</v>
      </c>
      <c r="M57" s="34"/>
      <c r="N57" s="34"/>
      <c r="O57" s="35" t="s">
        <v>126</v>
      </c>
      <c r="P57" s="35"/>
      <c r="Q57" s="31">
        <f>16000</f>
        <v>16000</v>
      </c>
      <c r="R57" s="31"/>
      <c r="S57" s="31"/>
      <c r="T57" s="31">
        <f>15054.87</f>
        <v>15054.87</v>
      </c>
      <c r="U57" s="31"/>
      <c r="V57" s="31"/>
      <c r="W57" s="31"/>
      <c r="X57" s="31"/>
      <c r="Y57" s="32">
        <f>945.13</f>
        <v>945.13</v>
      </c>
      <c r="Z57" s="32"/>
    </row>
    <row r="58" spans="1:26" s="1" customFormat="1" ht="14.1" customHeight="1" x14ac:dyDescent="0.2">
      <c r="A58" s="33" t="s">
        <v>119</v>
      </c>
      <c r="B58" s="33"/>
      <c r="C58" s="33"/>
      <c r="D58" s="33"/>
      <c r="E58" s="33"/>
      <c r="F58" s="33"/>
      <c r="G58" s="33"/>
      <c r="H58" s="33"/>
      <c r="I58" s="34" t="s">
        <v>97</v>
      </c>
      <c r="J58" s="34"/>
      <c r="K58" s="34"/>
      <c r="L58" s="34" t="s">
        <v>123</v>
      </c>
      <c r="M58" s="34"/>
      <c r="N58" s="34"/>
      <c r="O58" s="35" t="s">
        <v>121</v>
      </c>
      <c r="P58" s="35"/>
      <c r="Q58" s="31">
        <f>2077000</f>
        <v>2077000</v>
      </c>
      <c r="R58" s="31"/>
      <c r="S58" s="31"/>
      <c r="T58" s="31">
        <f>28568.5</f>
        <v>28568.5</v>
      </c>
      <c r="U58" s="31"/>
      <c r="V58" s="31"/>
      <c r="W58" s="31"/>
      <c r="X58" s="31"/>
      <c r="Y58" s="32">
        <f>2048431.5</f>
        <v>2048431.5</v>
      </c>
      <c r="Z58" s="32"/>
    </row>
    <row r="59" spans="1:26" s="1" customFormat="1" ht="14.1" customHeight="1" x14ac:dyDescent="0.2">
      <c r="A59" s="33" t="s">
        <v>127</v>
      </c>
      <c r="B59" s="33"/>
      <c r="C59" s="33"/>
      <c r="D59" s="33"/>
      <c r="E59" s="33"/>
      <c r="F59" s="33"/>
      <c r="G59" s="33"/>
      <c r="H59" s="33"/>
      <c r="I59" s="34" t="s">
        <v>97</v>
      </c>
      <c r="J59" s="34"/>
      <c r="K59" s="34"/>
      <c r="L59" s="34" t="s">
        <v>123</v>
      </c>
      <c r="M59" s="34"/>
      <c r="N59" s="34"/>
      <c r="O59" s="35" t="s">
        <v>128</v>
      </c>
      <c r="P59" s="35"/>
      <c r="Q59" s="31">
        <f>168500</f>
        <v>168500</v>
      </c>
      <c r="R59" s="31"/>
      <c r="S59" s="31"/>
      <c r="T59" s="31">
        <f>35278</f>
        <v>35278</v>
      </c>
      <c r="U59" s="31"/>
      <c r="V59" s="31"/>
      <c r="W59" s="31"/>
      <c r="X59" s="31"/>
      <c r="Y59" s="32">
        <f>133222</f>
        <v>133222</v>
      </c>
      <c r="Z59" s="32"/>
    </row>
    <row r="60" spans="1:26" s="1" customFormat="1" ht="14.1" customHeight="1" x14ac:dyDescent="0.2">
      <c r="A60" s="33" t="s">
        <v>108</v>
      </c>
      <c r="B60" s="33"/>
      <c r="C60" s="33"/>
      <c r="D60" s="33"/>
      <c r="E60" s="33"/>
      <c r="F60" s="33"/>
      <c r="G60" s="33"/>
      <c r="H60" s="33"/>
      <c r="I60" s="34" t="s">
        <v>97</v>
      </c>
      <c r="J60" s="34"/>
      <c r="K60" s="34"/>
      <c r="L60" s="34" t="s">
        <v>123</v>
      </c>
      <c r="M60" s="34"/>
      <c r="N60" s="34"/>
      <c r="O60" s="35" t="s">
        <v>110</v>
      </c>
      <c r="P60" s="35"/>
      <c r="Q60" s="31">
        <f>213500</f>
        <v>213500</v>
      </c>
      <c r="R60" s="31"/>
      <c r="S60" s="31"/>
      <c r="T60" s="31">
        <f>38747.26</f>
        <v>38747.26</v>
      </c>
      <c r="U60" s="31"/>
      <c r="V60" s="31"/>
      <c r="W60" s="31"/>
      <c r="X60" s="31"/>
      <c r="Y60" s="32">
        <f>174752.74</f>
        <v>174752.74</v>
      </c>
      <c r="Z60" s="32"/>
    </row>
    <row r="61" spans="1:26" s="1" customFormat="1" ht="14.1" customHeight="1" x14ac:dyDescent="0.2">
      <c r="A61" s="33" t="s">
        <v>108</v>
      </c>
      <c r="B61" s="33"/>
      <c r="C61" s="33"/>
      <c r="D61" s="33"/>
      <c r="E61" s="33"/>
      <c r="F61" s="33"/>
      <c r="G61" s="33"/>
      <c r="H61" s="33"/>
      <c r="I61" s="34" t="s">
        <v>97</v>
      </c>
      <c r="J61" s="34"/>
      <c r="K61" s="34"/>
      <c r="L61" s="34" t="s">
        <v>129</v>
      </c>
      <c r="M61" s="34"/>
      <c r="N61" s="34"/>
      <c r="O61" s="35" t="s">
        <v>110</v>
      </c>
      <c r="P61" s="35"/>
      <c r="Q61" s="31">
        <f>50000</f>
        <v>50000</v>
      </c>
      <c r="R61" s="31"/>
      <c r="S61" s="31"/>
      <c r="T61" s="36" t="s">
        <v>45</v>
      </c>
      <c r="U61" s="36"/>
      <c r="V61" s="36"/>
      <c r="W61" s="36"/>
      <c r="X61" s="36"/>
      <c r="Y61" s="32">
        <f>50000</f>
        <v>50000</v>
      </c>
      <c r="Z61" s="32"/>
    </row>
    <row r="62" spans="1:26" s="1" customFormat="1" ht="14.1" customHeight="1" x14ac:dyDescent="0.2">
      <c r="A62" s="33" t="s">
        <v>130</v>
      </c>
      <c r="B62" s="33"/>
      <c r="C62" s="33"/>
      <c r="D62" s="33"/>
      <c r="E62" s="33"/>
      <c r="F62" s="33"/>
      <c r="G62" s="33"/>
      <c r="H62" s="33"/>
      <c r="I62" s="34" t="s">
        <v>97</v>
      </c>
      <c r="J62" s="34"/>
      <c r="K62" s="34"/>
      <c r="L62" s="34" t="s">
        <v>131</v>
      </c>
      <c r="M62" s="34"/>
      <c r="N62" s="34"/>
      <c r="O62" s="35" t="s">
        <v>132</v>
      </c>
      <c r="P62" s="35"/>
      <c r="Q62" s="31">
        <f>20000</f>
        <v>20000</v>
      </c>
      <c r="R62" s="31"/>
      <c r="S62" s="31"/>
      <c r="T62" s="31">
        <f>2383.64</f>
        <v>2383.64</v>
      </c>
      <c r="U62" s="31"/>
      <c r="V62" s="31"/>
      <c r="W62" s="31"/>
      <c r="X62" s="31"/>
      <c r="Y62" s="32">
        <f>17616.36</f>
        <v>17616.36</v>
      </c>
      <c r="Z62" s="32"/>
    </row>
    <row r="63" spans="1:26" s="1" customFormat="1" ht="14.1" customHeight="1" x14ac:dyDescent="0.2">
      <c r="A63" s="33" t="s">
        <v>125</v>
      </c>
      <c r="B63" s="33"/>
      <c r="C63" s="33"/>
      <c r="D63" s="33"/>
      <c r="E63" s="33"/>
      <c r="F63" s="33"/>
      <c r="G63" s="33"/>
      <c r="H63" s="33"/>
      <c r="I63" s="34" t="s">
        <v>97</v>
      </c>
      <c r="J63" s="34"/>
      <c r="K63" s="34"/>
      <c r="L63" s="34" t="s">
        <v>131</v>
      </c>
      <c r="M63" s="34"/>
      <c r="N63" s="34"/>
      <c r="O63" s="35" t="s">
        <v>126</v>
      </c>
      <c r="P63" s="35"/>
      <c r="Q63" s="31">
        <f>200000</f>
        <v>200000</v>
      </c>
      <c r="R63" s="31"/>
      <c r="S63" s="31"/>
      <c r="T63" s="31">
        <f>48800</f>
        <v>48800</v>
      </c>
      <c r="U63" s="31"/>
      <c r="V63" s="31"/>
      <c r="W63" s="31"/>
      <c r="X63" s="31"/>
      <c r="Y63" s="32">
        <f>151200</f>
        <v>151200</v>
      </c>
      <c r="Z63" s="32"/>
    </row>
    <row r="64" spans="1:26" s="1" customFormat="1" ht="14.1" customHeight="1" x14ac:dyDescent="0.2">
      <c r="A64" s="33" t="s">
        <v>119</v>
      </c>
      <c r="B64" s="33"/>
      <c r="C64" s="33"/>
      <c r="D64" s="33"/>
      <c r="E64" s="33"/>
      <c r="F64" s="33"/>
      <c r="G64" s="33"/>
      <c r="H64" s="33"/>
      <c r="I64" s="34" t="s">
        <v>97</v>
      </c>
      <c r="J64" s="34"/>
      <c r="K64" s="34"/>
      <c r="L64" s="34" t="s">
        <v>131</v>
      </c>
      <c r="M64" s="34"/>
      <c r="N64" s="34"/>
      <c r="O64" s="35" t="s">
        <v>121</v>
      </c>
      <c r="P64" s="35"/>
      <c r="Q64" s="31">
        <f>1638880</f>
        <v>1638880</v>
      </c>
      <c r="R64" s="31"/>
      <c r="S64" s="31"/>
      <c r="T64" s="31">
        <f>369754.8</f>
        <v>369754.8</v>
      </c>
      <c r="U64" s="31"/>
      <c r="V64" s="31"/>
      <c r="W64" s="31"/>
      <c r="X64" s="31"/>
      <c r="Y64" s="32">
        <f>1269125.2</f>
        <v>1269125.2</v>
      </c>
      <c r="Z64" s="32"/>
    </row>
    <row r="65" spans="1:26" s="1" customFormat="1" ht="14.1" customHeight="1" x14ac:dyDescent="0.2">
      <c r="A65" s="33" t="s">
        <v>133</v>
      </c>
      <c r="B65" s="33"/>
      <c r="C65" s="33"/>
      <c r="D65" s="33"/>
      <c r="E65" s="33"/>
      <c r="F65" s="33"/>
      <c r="G65" s="33"/>
      <c r="H65" s="33"/>
      <c r="I65" s="34" t="s">
        <v>97</v>
      </c>
      <c r="J65" s="34"/>
      <c r="K65" s="34"/>
      <c r="L65" s="34" t="s">
        <v>131</v>
      </c>
      <c r="M65" s="34"/>
      <c r="N65" s="34"/>
      <c r="O65" s="35" t="s">
        <v>134</v>
      </c>
      <c r="P65" s="35"/>
      <c r="Q65" s="31">
        <f>150000</f>
        <v>150000</v>
      </c>
      <c r="R65" s="31"/>
      <c r="S65" s="31"/>
      <c r="T65" s="31">
        <f>47945</f>
        <v>47945</v>
      </c>
      <c r="U65" s="31"/>
      <c r="V65" s="31"/>
      <c r="W65" s="31"/>
      <c r="X65" s="31"/>
      <c r="Y65" s="32">
        <f>102055</f>
        <v>102055</v>
      </c>
      <c r="Z65" s="32"/>
    </row>
    <row r="66" spans="1:26" s="1" customFormat="1" ht="14.1" customHeight="1" x14ac:dyDescent="0.2">
      <c r="A66" s="33" t="s">
        <v>108</v>
      </c>
      <c r="B66" s="33"/>
      <c r="C66" s="33"/>
      <c r="D66" s="33"/>
      <c r="E66" s="33"/>
      <c r="F66" s="33"/>
      <c r="G66" s="33"/>
      <c r="H66" s="33"/>
      <c r="I66" s="34" t="s">
        <v>97</v>
      </c>
      <c r="J66" s="34"/>
      <c r="K66" s="34"/>
      <c r="L66" s="34" t="s">
        <v>131</v>
      </c>
      <c r="M66" s="34"/>
      <c r="N66" s="34"/>
      <c r="O66" s="35" t="s">
        <v>110</v>
      </c>
      <c r="P66" s="35"/>
      <c r="Q66" s="31">
        <f>49120</f>
        <v>49120</v>
      </c>
      <c r="R66" s="31"/>
      <c r="S66" s="31"/>
      <c r="T66" s="31">
        <f>46520</f>
        <v>46520</v>
      </c>
      <c r="U66" s="31"/>
      <c r="V66" s="31"/>
      <c r="W66" s="31"/>
      <c r="X66" s="31"/>
      <c r="Y66" s="32">
        <f>2600</f>
        <v>2600</v>
      </c>
      <c r="Z66" s="32"/>
    </row>
    <row r="67" spans="1:26" s="1" customFormat="1" ht="14.1" customHeight="1" x14ac:dyDescent="0.2">
      <c r="A67" s="33" t="s">
        <v>130</v>
      </c>
      <c r="B67" s="33"/>
      <c r="C67" s="33"/>
      <c r="D67" s="33"/>
      <c r="E67" s="33"/>
      <c r="F67" s="33"/>
      <c r="G67" s="33"/>
      <c r="H67" s="33"/>
      <c r="I67" s="34" t="s">
        <v>97</v>
      </c>
      <c r="J67" s="34"/>
      <c r="K67" s="34"/>
      <c r="L67" s="34" t="s">
        <v>135</v>
      </c>
      <c r="M67" s="34"/>
      <c r="N67" s="34"/>
      <c r="O67" s="35" t="s">
        <v>132</v>
      </c>
      <c r="P67" s="35"/>
      <c r="Q67" s="31">
        <f>300000</f>
        <v>300000</v>
      </c>
      <c r="R67" s="31"/>
      <c r="S67" s="31"/>
      <c r="T67" s="31">
        <f>54556.24</f>
        <v>54556.24</v>
      </c>
      <c r="U67" s="31"/>
      <c r="V67" s="31"/>
      <c r="W67" s="31"/>
      <c r="X67" s="31"/>
      <c r="Y67" s="32">
        <f>245443.76</f>
        <v>245443.76</v>
      </c>
      <c r="Z67" s="32"/>
    </row>
    <row r="68" spans="1:26" s="1" customFormat="1" ht="14.1" customHeight="1" x14ac:dyDescent="0.2">
      <c r="A68" s="33" t="s">
        <v>136</v>
      </c>
      <c r="B68" s="33"/>
      <c r="C68" s="33"/>
      <c r="D68" s="33"/>
      <c r="E68" s="33"/>
      <c r="F68" s="33"/>
      <c r="G68" s="33"/>
      <c r="H68" s="33"/>
      <c r="I68" s="34" t="s">
        <v>97</v>
      </c>
      <c r="J68" s="34"/>
      <c r="K68" s="34"/>
      <c r="L68" s="34" t="s">
        <v>137</v>
      </c>
      <c r="M68" s="34"/>
      <c r="N68" s="34"/>
      <c r="O68" s="35" t="s">
        <v>138</v>
      </c>
      <c r="P68" s="35"/>
      <c r="Q68" s="31">
        <f>220000</f>
        <v>220000</v>
      </c>
      <c r="R68" s="31"/>
      <c r="S68" s="31"/>
      <c r="T68" s="36" t="s">
        <v>45</v>
      </c>
      <c r="U68" s="36"/>
      <c r="V68" s="36"/>
      <c r="W68" s="36"/>
      <c r="X68" s="36"/>
      <c r="Y68" s="32">
        <f>220000</f>
        <v>220000</v>
      </c>
      <c r="Z68" s="32"/>
    </row>
    <row r="69" spans="1:26" s="1" customFormat="1" ht="14.1" customHeight="1" x14ac:dyDescent="0.2">
      <c r="A69" s="33" t="s">
        <v>136</v>
      </c>
      <c r="B69" s="33"/>
      <c r="C69" s="33"/>
      <c r="D69" s="33"/>
      <c r="E69" s="33"/>
      <c r="F69" s="33"/>
      <c r="G69" s="33"/>
      <c r="H69" s="33"/>
      <c r="I69" s="34" t="s">
        <v>97</v>
      </c>
      <c r="J69" s="34"/>
      <c r="K69" s="34"/>
      <c r="L69" s="34" t="s">
        <v>139</v>
      </c>
      <c r="M69" s="34"/>
      <c r="N69" s="34"/>
      <c r="O69" s="35" t="s">
        <v>138</v>
      </c>
      <c r="P69" s="35"/>
      <c r="Q69" s="31">
        <f>23000</f>
        <v>23000</v>
      </c>
      <c r="R69" s="31"/>
      <c r="S69" s="31"/>
      <c r="T69" s="36" t="s">
        <v>45</v>
      </c>
      <c r="U69" s="36"/>
      <c r="V69" s="36"/>
      <c r="W69" s="36"/>
      <c r="X69" s="36"/>
      <c r="Y69" s="32">
        <f>23000</f>
        <v>23000</v>
      </c>
      <c r="Z69" s="32"/>
    </row>
    <row r="70" spans="1:26" s="1" customFormat="1" ht="24" customHeight="1" x14ac:dyDescent="0.2">
      <c r="A70" s="33" t="s">
        <v>140</v>
      </c>
      <c r="B70" s="33"/>
      <c r="C70" s="33"/>
      <c r="D70" s="33"/>
      <c r="E70" s="33"/>
      <c r="F70" s="33"/>
      <c r="G70" s="33"/>
      <c r="H70" s="33"/>
      <c r="I70" s="34" t="s">
        <v>97</v>
      </c>
      <c r="J70" s="34"/>
      <c r="K70" s="34"/>
      <c r="L70" s="34" t="s">
        <v>141</v>
      </c>
      <c r="M70" s="34"/>
      <c r="N70" s="34"/>
      <c r="O70" s="35" t="s">
        <v>142</v>
      </c>
      <c r="P70" s="35"/>
      <c r="Q70" s="31">
        <f>1000</f>
        <v>1000</v>
      </c>
      <c r="R70" s="31"/>
      <c r="S70" s="31"/>
      <c r="T70" s="36" t="s">
        <v>45</v>
      </c>
      <c r="U70" s="36"/>
      <c r="V70" s="36"/>
      <c r="W70" s="36"/>
      <c r="X70" s="36"/>
      <c r="Y70" s="32">
        <f>1000</f>
        <v>1000</v>
      </c>
      <c r="Z70" s="32"/>
    </row>
    <row r="71" spans="1:26" s="1" customFormat="1" ht="24" customHeight="1" x14ac:dyDescent="0.2">
      <c r="A71" s="33" t="s">
        <v>143</v>
      </c>
      <c r="B71" s="33"/>
      <c r="C71" s="33"/>
      <c r="D71" s="33"/>
      <c r="E71" s="33"/>
      <c r="F71" s="33"/>
      <c r="G71" s="33"/>
      <c r="H71" s="33"/>
      <c r="I71" s="34" t="s">
        <v>97</v>
      </c>
      <c r="J71" s="34"/>
      <c r="K71" s="34"/>
      <c r="L71" s="34" t="s">
        <v>141</v>
      </c>
      <c r="M71" s="34"/>
      <c r="N71" s="34"/>
      <c r="O71" s="35" t="s">
        <v>144</v>
      </c>
      <c r="P71" s="35"/>
      <c r="Q71" s="31">
        <f>50000</f>
        <v>50000</v>
      </c>
      <c r="R71" s="31"/>
      <c r="S71" s="31"/>
      <c r="T71" s="31">
        <f>50000</f>
        <v>50000</v>
      </c>
      <c r="U71" s="31"/>
      <c r="V71" s="31"/>
      <c r="W71" s="31"/>
      <c r="X71" s="31"/>
      <c r="Y71" s="32">
        <f>0</f>
        <v>0</v>
      </c>
      <c r="Z71" s="32"/>
    </row>
    <row r="72" spans="1:26" s="1" customFormat="1" ht="14.1" customHeight="1" x14ac:dyDescent="0.2">
      <c r="A72" s="33" t="s">
        <v>116</v>
      </c>
      <c r="B72" s="33"/>
      <c r="C72" s="33"/>
      <c r="D72" s="33"/>
      <c r="E72" s="33"/>
      <c r="F72" s="33"/>
      <c r="G72" s="33"/>
      <c r="H72" s="33"/>
      <c r="I72" s="34" t="s">
        <v>97</v>
      </c>
      <c r="J72" s="34"/>
      <c r="K72" s="34"/>
      <c r="L72" s="34" t="s">
        <v>141</v>
      </c>
      <c r="M72" s="34"/>
      <c r="N72" s="34"/>
      <c r="O72" s="35" t="s">
        <v>118</v>
      </c>
      <c r="P72" s="35"/>
      <c r="Q72" s="31">
        <f>19000</f>
        <v>19000</v>
      </c>
      <c r="R72" s="31"/>
      <c r="S72" s="31"/>
      <c r="T72" s="31">
        <f>18136.5</f>
        <v>18136.5</v>
      </c>
      <c r="U72" s="31"/>
      <c r="V72" s="31"/>
      <c r="W72" s="31"/>
      <c r="X72" s="31"/>
      <c r="Y72" s="32">
        <f>863.5</f>
        <v>863.5</v>
      </c>
      <c r="Z72" s="32"/>
    </row>
    <row r="73" spans="1:26" s="1" customFormat="1" ht="14.1" customHeight="1" x14ac:dyDescent="0.2">
      <c r="A73" s="33" t="s">
        <v>119</v>
      </c>
      <c r="B73" s="33"/>
      <c r="C73" s="33"/>
      <c r="D73" s="33"/>
      <c r="E73" s="33"/>
      <c r="F73" s="33"/>
      <c r="G73" s="33"/>
      <c r="H73" s="33"/>
      <c r="I73" s="34" t="s">
        <v>97</v>
      </c>
      <c r="J73" s="34"/>
      <c r="K73" s="34"/>
      <c r="L73" s="34" t="s">
        <v>145</v>
      </c>
      <c r="M73" s="34"/>
      <c r="N73" s="34"/>
      <c r="O73" s="35" t="s">
        <v>121</v>
      </c>
      <c r="P73" s="35"/>
      <c r="Q73" s="31">
        <f>320000</f>
        <v>320000</v>
      </c>
      <c r="R73" s="31"/>
      <c r="S73" s="31"/>
      <c r="T73" s="31">
        <f>114724.02</f>
        <v>114724.02</v>
      </c>
      <c r="U73" s="31"/>
      <c r="V73" s="31"/>
      <c r="W73" s="31"/>
      <c r="X73" s="31"/>
      <c r="Y73" s="32">
        <f>205275.98</f>
        <v>205275.98</v>
      </c>
      <c r="Z73" s="32"/>
    </row>
    <row r="74" spans="1:26" s="1" customFormat="1" ht="24" customHeight="1" x14ac:dyDescent="0.2">
      <c r="A74" s="33" t="s">
        <v>146</v>
      </c>
      <c r="B74" s="33"/>
      <c r="C74" s="33"/>
      <c r="D74" s="33"/>
      <c r="E74" s="33"/>
      <c r="F74" s="33"/>
      <c r="G74" s="33"/>
      <c r="H74" s="33"/>
      <c r="I74" s="34" t="s">
        <v>97</v>
      </c>
      <c r="J74" s="34"/>
      <c r="K74" s="34"/>
      <c r="L74" s="34" t="s">
        <v>147</v>
      </c>
      <c r="M74" s="34"/>
      <c r="N74" s="34"/>
      <c r="O74" s="35" t="s">
        <v>148</v>
      </c>
      <c r="P74" s="35"/>
      <c r="Q74" s="31">
        <f>10000</f>
        <v>10000</v>
      </c>
      <c r="R74" s="31"/>
      <c r="S74" s="31"/>
      <c r="T74" s="36" t="s">
        <v>45</v>
      </c>
      <c r="U74" s="36"/>
      <c r="V74" s="36"/>
      <c r="W74" s="36"/>
      <c r="X74" s="36"/>
      <c r="Y74" s="32">
        <f>10000</f>
        <v>10000</v>
      </c>
      <c r="Z74" s="32"/>
    </row>
    <row r="75" spans="1:26" s="1" customFormat="1" ht="14.1" customHeight="1" x14ac:dyDescent="0.2">
      <c r="A75" s="33" t="s">
        <v>119</v>
      </c>
      <c r="B75" s="33"/>
      <c r="C75" s="33"/>
      <c r="D75" s="33"/>
      <c r="E75" s="33"/>
      <c r="F75" s="33"/>
      <c r="G75" s="33"/>
      <c r="H75" s="33"/>
      <c r="I75" s="34" t="s">
        <v>97</v>
      </c>
      <c r="J75" s="34"/>
      <c r="K75" s="34"/>
      <c r="L75" s="34" t="s">
        <v>149</v>
      </c>
      <c r="M75" s="34"/>
      <c r="N75" s="34"/>
      <c r="O75" s="35" t="s">
        <v>121</v>
      </c>
      <c r="P75" s="35"/>
      <c r="Q75" s="31">
        <f>100000</f>
        <v>100000</v>
      </c>
      <c r="R75" s="31"/>
      <c r="S75" s="31"/>
      <c r="T75" s="36" t="s">
        <v>45</v>
      </c>
      <c r="U75" s="36"/>
      <c r="V75" s="36"/>
      <c r="W75" s="36"/>
      <c r="X75" s="36"/>
      <c r="Y75" s="32">
        <f>100000</f>
        <v>100000</v>
      </c>
      <c r="Z75" s="32"/>
    </row>
    <row r="76" spans="1:26" s="1" customFormat="1" ht="24" customHeight="1" x14ac:dyDescent="0.2">
      <c r="A76" s="33" t="s">
        <v>150</v>
      </c>
      <c r="B76" s="33"/>
      <c r="C76" s="33"/>
      <c r="D76" s="33"/>
      <c r="E76" s="33"/>
      <c r="F76" s="33"/>
      <c r="G76" s="33"/>
      <c r="H76" s="33"/>
      <c r="I76" s="34" t="s">
        <v>97</v>
      </c>
      <c r="J76" s="34"/>
      <c r="K76" s="34"/>
      <c r="L76" s="34" t="s">
        <v>151</v>
      </c>
      <c r="M76" s="34"/>
      <c r="N76" s="34"/>
      <c r="O76" s="35" t="s">
        <v>152</v>
      </c>
      <c r="P76" s="35"/>
      <c r="Q76" s="31">
        <f>230000</f>
        <v>230000</v>
      </c>
      <c r="R76" s="31"/>
      <c r="S76" s="31"/>
      <c r="T76" s="31">
        <f>221000</f>
        <v>221000</v>
      </c>
      <c r="U76" s="31"/>
      <c r="V76" s="31"/>
      <c r="W76" s="31"/>
      <c r="X76" s="31"/>
      <c r="Y76" s="32">
        <f>9000</f>
        <v>9000</v>
      </c>
      <c r="Z76" s="32"/>
    </row>
    <row r="77" spans="1:26" s="1" customFormat="1" ht="14.1" customHeight="1" x14ac:dyDescent="0.2">
      <c r="A77" s="33" t="s">
        <v>119</v>
      </c>
      <c r="B77" s="33"/>
      <c r="C77" s="33"/>
      <c r="D77" s="33"/>
      <c r="E77" s="33"/>
      <c r="F77" s="33"/>
      <c r="G77" s="33"/>
      <c r="H77" s="33"/>
      <c r="I77" s="34" t="s">
        <v>97</v>
      </c>
      <c r="J77" s="34"/>
      <c r="K77" s="34"/>
      <c r="L77" s="34" t="s">
        <v>153</v>
      </c>
      <c r="M77" s="34"/>
      <c r="N77" s="34"/>
      <c r="O77" s="35" t="s">
        <v>121</v>
      </c>
      <c r="P77" s="35"/>
      <c r="Q77" s="31">
        <f>0</f>
        <v>0</v>
      </c>
      <c r="R77" s="31"/>
      <c r="S77" s="31"/>
      <c r="T77" s="36" t="s">
        <v>45</v>
      </c>
      <c r="U77" s="36"/>
      <c r="V77" s="36"/>
      <c r="W77" s="36"/>
      <c r="X77" s="36"/>
      <c r="Y77" s="37" t="s">
        <v>45</v>
      </c>
      <c r="Z77" s="37"/>
    </row>
    <row r="78" spans="1:26" s="1" customFormat="1" ht="14.1" customHeight="1" x14ac:dyDescent="0.2">
      <c r="A78" s="33" t="s">
        <v>119</v>
      </c>
      <c r="B78" s="33"/>
      <c r="C78" s="33"/>
      <c r="D78" s="33"/>
      <c r="E78" s="33"/>
      <c r="F78" s="33"/>
      <c r="G78" s="33"/>
      <c r="H78" s="33"/>
      <c r="I78" s="34" t="s">
        <v>97</v>
      </c>
      <c r="J78" s="34"/>
      <c r="K78" s="34"/>
      <c r="L78" s="34" t="s">
        <v>154</v>
      </c>
      <c r="M78" s="34"/>
      <c r="N78" s="34"/>
      <c r="O78" s="35" t="s">
        <v>121</v>
      </c>
      <c r="P78" s="35"/>
      <c r="Q78" s="31">
        <f>189000</f>
        <v>189000</v>
      </c>
      <c r="R78" s="31"/>
      <c r="S78" s="31"/>
      <c r="T78" s="36" t="s">
        <v>45</v>
      </c>
      <c r="U78" s="36"/>
      <c r="V78" s="36"/>
      <c r="W78" s="36"/>
      <c r="X78" s="36"/>
      <c r="Y78" s="32">
        <f>189000</f>
        <v>189000</v>
      </c>
      <c r="Z78" s="32"/>
    </row>
    <row r="79" spans="1:26" s="1" customFormat="1" ht="14.1" customHeight="1" x14ac:dyDescent="0.2">
      <c r="A79" s="33" t="s">
        <v>98</v>
      </c>
      <c r="B79" s="33"/>
      <c r="C79" s="33"/>
      <c r="D79" s="33"/>
      <c r="E79" s="33"/>
      <c r="F79" s="33"/>
      <c r="G79" s="33"/>
      <c r="H79" s="33"/>
      <c r="I79" s="34" t="s">
        <v>97</v>
      </c>
      <c r="J79" s="34"/>
      <c r="K79" s="34"/>
      <c r="L79" s="34" t="s">
        <v>155</v>
      </c>
      <c r="M79" s="34"/>
      <c r="N79" s="34"/>
      <c r="O79" s="35" t="s">
        <v>100</v>
      </c>
      <c r="P79" s="35"/>
      <c r="Q79" s="31">
        <f>550000</f>
        <v>550000</v>
      </c>
      <c r="R79" s="31"/>
      <c r="S79" s="31"/>
      <c r="T79" s="31">
        <f>92614.15</f>
        <v>92614.15</v>
      </c>
      <c r="U79" s="31"/>
      <c r="V79" s="31"/>
      <c r="W79" s="31"/>
      <c r="X79" s="31"/>
      <c r="Y79" s="32">
        <f>457385.85</f>
        <v>457385.85</v>
      </c>
      <c r="Z79" s="32"/>
    </row>
    <row r="80" spans="1:26" s="1" customFormat="1" ht="14.1" customHeight="1" x14ac:dyDescent="0.2">
      <c r="A80" s="33" t="s">
        <v>101</v>
      </c>
      <c r="B80" s="33"/>
      <c r="C80" s="33"/>
      <c r="D80" s="33"/>
      <c r="E80" s="33"/>
      <c r="F80" s="33"/>
      <c r="G80" s="33"/>
      <c r="H80" s="33"/>
      <c r="I80" s="34" t="s">
        <v>97</v>
      </c>
      <c r="J80" s="34"/>
      <c r="K80" s="34"/>
      <c r="L80" s="34" t="s">
        <v>156</v>
      </c>
      <c r="M80" s="34"/>
      <c r="N80" s="34"/>
      <c r="O80" s="35" t="s">
        <v>103</v>
      </c>
      <c r="P80" s="35"/>
      <c r="Q80" s="31">
        <f>159300</f>
        <v>159300</v>
      </c>
      <c r="R80" s="31"/>
      <c r="S80" s="31"/>
      <c r="T80" s="31">
        <f>22902.51</f>
        <v>22902.51</v>
      </c>
      <c r="U80" s="31"/>
      <c r="V80" s="31"/>
      <c r="W80" s="31"/>
      <c r="X80" s="31"/>
      <c r="Y80" s="32">
        <f>136397.49</f>
        <v>136397.49</v>
      </c>
      <c r="Z80" s="32"/>
    </row>
    <row r="81" spans="1:26" s="1" customFormat="1" ht="14.1" customHeight="1" x14ac:dyDescent="0.2">
      <c r="A81" s="33" t="s">
        <v>125</v>
      </c>
      <c r="B81" s="33"/>
      <c r="C81" s="33"/>
      <c r="D81" s="33"/>
      <c r="E81" s="33"/>
      <c r="F81" s="33"/>
      <c r="G81" s="33"/>
      <c r="H81" s="33"/>
      <c r="I81" s="34" t="s">
        <v>97</v>
      </c>
      <c r="J81" s="34"/>
      <c r="K81" s="34"/>
      <c r="L81" s="34" t="s">
        <v>157</v>
      </c>
      <c r="M81" s="34"/>
      <c r="N81" s="34"/>
      <c r="O81" s="35" t="s">
        <v>126</v>
      </c>
      <c r="P81" s="35"/>
      <c r="Q81" s="31">
        <f>30000</f>
        <v>30000</v>
      </c>
      <c r="R81" s="31"/>
      <c r="S81" s="31"/>
      <c r="T81" s="31">
        <f>5580</f>
        <v>5580</v>
      </c>
      <c r="U81" s="31"/>
      <c r="V81" s="31"/>
      <c r="W81" s="31"/>
      <c r="X81" s="31"/>
      <c r="Y81" s="32">
        <f>24420</f>
        <v>24420</v>
      </c>
      <c r="Z81" s="32"/>
    </row>
    <row r="82" spans="1:26" s="1" customFormat="1" ht="24" customHeight="1" x14ac:dyDescent="0.2">
      <c r="A82" s="33" t="s">
        <v>111</v>
      </c>
      <c r="B82" s="33"/>
      <c r="C82" s="33"/>
      <c r="D82" s="33"/>
      <c r="E82" s="33"/>
      <c r="F82" s="33"/>
      <c r="G82" s="33"/>
      <c r="H82" s="33"/>
      <c r="I82" s="34" t="s">
        <v>97</v>
      </c>
      <c r="J82" s="34"/>
      <c r="K82" s="34"/>
      <c r="L82" s="34" t="s">
        <v>158</v>
      </c>
      <c r="M82" s="34"/>
      <c r="N82" s="34"/>
      <c r="O82" s="35" t="s">
        <v>113</v>
      </c>
      <c r="P82" s="35"/>
      <c r="Q82" s="31">
        <f>1896500</f>
        <v>1896500</v>
      </c>
      <c r="R82" s="31"/>
      <c r="S82" s="31"/>
      <c r="T82" s="31">
        <f>1896500</f>
        <v>1896500</v>
      </c>
      <c r="U82" s="31"/>
      <c r="V82" s="31"/>
      <c r="W82" s="31"/>
      <c r="X82" s="31"/>
      <c r="Y82" s="32">
        <f>0</f>
        <v>0</v>
      </c>
      <c r="Z82" s="32"/>
    </row>
    <row r="83" spans="1:26" s="1" customFormat="1" ht="14.1" customHeight="1" x14ac:dyDescent="0.2">
      <c r="A83" s="33" t="s">
        <v>119</v>
      </c>
      <c r="B83" s="33"/>
      <c r="C83" s="33"/>
      <c r="D83" s="33"/>
      <c r="E83" s="33"/>
      <c r="F83" s="33"/>
      <c r="G83" s="33"/>
      <c r="H83" s="33"/>
      <c r="I83" s="34" t="s">
        <v>97</v>
      </c>
      <c r="J83" s="34"/>
      <c r="K83" s="34"/>
      <c r="L83" s="34" t="s">
        <v>159</v>
      </c>
      <c r="M83" s="34"/>
      <c r="N83" s="34"/>
      <c r="O83" s="35" t="s">
        <v>121</v>
      </c>
      <c r="P83" s="35"/>
      <c r="Q83" s="31">
        <f>20000</f>
        <v>20000</v>
      </c>
      <c r="R83" s="31"/>
      <c r="S83" s="31"/>
      <c r="T83" s="36" t="s">
        <v>45</v>
      </c>
      <c r="U83" s="36"/>
      <c r="V83" s="36"/>
      <c r="W83" s="36"/>
      <c r="X83" s="36"/>
      <c r="Y83" s="32">
        <f>20000</f>
        <v>20000</v>
      </c>
      <c r="Z83" s="32"/>
    </row>
    <row r="84" spans="1:26" s="1" customFormat="1" ht="14.1" customHeight="1" x14ac:dyDescent="0.2">
      <c r="A84" s="33" t="s">
        <v>119</v>
      </c>
      <c r="B84" s="33"/>
      <c r="C84" s="33"/>
      <c r="D84" s="33"/>
      <c r="E84" s="33"/>
      <c r="F84" s="33"/>
      <c r="G84" s="33"/>
      <c r="H84" s="33"/>
      <c r="I84" s="34" t="s">
        <v>97</v>
      </c>
      <c r="J84" s="34"/>
      <c r="K84" s="34"/>
      <c r="L84" s="34" t="s">
        <v>160</v>
      </c>
      <c r="M84" s="34"/>
      <c r="N84" s="34"/>
      <c r="O84" s="35" t="s">
        <v>121</v>
      </c>
      <c r="P84" s="35"/>
      <c r="Q84" s="31">
        <f>100000</f>
        <v>100000</v>
      </c>
      <c r="R84" s="31"/>
      <c r="S84" s="31"/>
      <c r="T84" s="36" t="s">
        <v>45</v>
      </c>
      <c r="U84" s="36"/>
      <c r="V84" s="36"/>
      <c r="W84" s="36"/>
      <c r="X84" s="36"/>
      <c r="Y84" s="32">
        <f>100000</f>
        <v>100000</v>
      </c>
      <c r="Z84" s="32"/>
    </row>
    <row r="85" spans="1:26" s="1" customFormat="1" ht="14.1" customHeight="1" x14ac:dyDescent="0.2">
      <c r="A85" s="33" t="s">
        <v>133</v>
      </c>
      <c r="B85" s="33"/>
      <c r="C85" s="33"/>
      <c r="D85" s="33"/>
      <c r="E85" s="33"/>
      <c r="F85" s="33"/>
      <c r="G85" s="33"/>
      <c r="H85" s="33"/>
      <c r="I85" s="34" t="s">
        <v>97</v>
      </c>
      <c r="J85" s="34"/>
      <c r="K85" s="34"/>
      <c r="L85" s="34" t="s">
        <v>160</v>
      </c>
      <c r="M85" s="34"/>
      <c r="N85" s="34"/>
      <c r="O85" s="35" t="s">
        <v>134</v>
      </c>
      <c r="P85" s="35"/>
      <c r="Q85" s="31">
        <f>90000</f>
        <v>90000</v>
      </c>
      <c r="R85" s="31"/>
      <c r="S85" s="31"/>
      <c r="T85" s="36" t="s">
        <v>45</v>
      </c>
      <c r="U85" s="36"/>
      <c r="V85" s="36"/>
      <c r="W85" s="36"/>
      <c r="X85" s="36"/>
      <c r="Y85" s="32">
        <f>90000</f>
        <v>90000</v>
      </c>
      <c r="Z85" s="32"/>
    </row>
    <row r="86" spans="1:26" s="1" customFormat="1" ht="14.1" customHeight="1" x14ac:dyDescent="0.2">
      <c r="A86" s="33" t="s">
        <v>119</v>
      </c>
      <c r="B86" s="33"/>
      <c r="C86" s="33"/>
      <c r="D86" s="33"/>
      <c r="E86" s="33"/>
      <c r="F86" s="33"/>
      <c r="G86" s="33"/>
      <c r="H86" s="33"/>
      <c r="I86" s="34" t="s">
        <v>97</v>
      </c>
      <c r="J86" s="34"/>
      <c r="K86" s="34"/>
      <c r="L86" s="34" t="s">
        <v>161</v>
      </c>
      <c r="M86" s="34"/>
      <c r="N86" s="34"/>
      <c r="O86" s="35" t="s">
        <v>121</v>
      </c>
      <c r="P86" s="35"/>
      <c r="Q86" s="31">
        <f>5000</f>
        <v>5000</v>
      </c>
      <c r="R86" s="31"/>
      <c r="S86" s="31"/>
      <c r="T86" s="36" t="s">
        <v>45</v>
      </c>
      <c r="U86" s="36"/>
      <c r="V86" s="36"/>
      <c r="W86" s="36"/>
      <c r="X86" s="36"/>
      <c r="Y86" s="32">
        <f>5000</f>
        <v>5000</v>
      </c>
      <c r="Z86" s="32"/>
    </row>
    <row r="87" spans="1:26" s="1" customFormat="1" ht="14.1" customHeight="1" x14ac:dyDescent="0.2">
      <c r="A87" s="33" t="s">
        <v>119</v>
      </c>
      <c r="B87" s="33"/>
      <c r="C87" s="33"/>
      <c r="D87" s="33"/>
      <c r="E87" s="33"/>
      <c r="F87" s="33"/>
      <c r="G87" s="33"/>
      <c r="H87" s="33"/>
      <c r="I87" s="34" t="s">
        <v>97</v>
      </c>
      <c r="J87" s="34"/>
      <c r="K87" s="34"/>
      <c r="L87" s="34" t="s">
        <v>162</v>
      </c>
      <c r="M87" s="34"/>
      <c r="N87" s="34"/>
      <c r="O87" s="35" t="s">
        <v>121</v>
      </c>
      <c r="P87" s="35"/>
      <c r="Q87" s="31">
        <f>100000</f>
        <v>100000</v>
      </c>
      <c r="R87" s="31"/>
      <c r="S87" s="31"/>
      <c r="T87" s="36" t="s">
        <v>45</v>
      </c>
      <c r="U87" s="36"/>
      <c r="V87" s="36"/>
      <c r="W87" s="36"/>
      <c r="X87" s="36"/>
      <c r="Y87" s="32">
        <f>100000</f>
        <v>100000</v>
      </c>
      <c r="Z87" s="32"/>
    </row>
    <row r="88" spans="1:26" s="1" customFormat="1" ht="14.1" customHeight="1" x14ac:dyDescent="0.2">
      <c r="A88" s="33" t="s">
        <v>163</v>
      </c>
      <c r="B88" s="33"/>
      <c r="C88" s="33"/>
      <c r="D88" s="33"/>
      <c r="E88" s="33"/>
      <c r="F88" s="33"/>
      <c r="G88" s="33"/>
      <c r="H88" s="33"/>
      <c r="I88" s="34" t="s">
        <v>97</v>
      </c>
      <c r="J88" s="34"/>
      <c r="K88" s="34"/>
      <c r="L88" s="34" t="s">
        <v>164</v>
      </c>
      <c r="M88" s="34"/>
      <c r="N88" s="34"/>
      <c r="O88" s="35" t="s">
        <v>165</v>
      </c>
      <c r="P88" s="35"/>
      <c r="Q88" s="31">
        <f>110000</f>
        <v>110000</v>
      </c>
      <c r="R88" s="31"/>
      <c r="S88" s="31"/>
      <c r="T88" s="31">
        <f>29250</f>
        <v>29250</v>
      </c>
      <c r="U88" s="31"/>
      <c r="V88" s="31"/>
      <c r="W88" s="31"/>
      <c r="X88" s="31"/>
      <c r="Y88" s="32">
        <f>80750</f>
        <v>80750</v>
      </c>
      <c r="Z88" s="32"/>
    </row>
    <row r="89" spans="1:26" s="1" customFormat="1" ht="14.1" customHeight="1" x14ac:dyDescent="0.2">
      <c r="A89" s="33" t="s">
        <v>125</v>
      </c>
      <c r="B89" s="33"/>
      <c r="C89" s="33"/>
      <c r="D89" s="33"/>
      <c r="E89" s="33"/>
      <c r="F89" s="33"/>
      <c r="G89" s="33"/>
      <c r="H89" s="33"/>
      <c r="I89" s="34" t="s">
        <v>97</v>
      </c>
      <c r="J89" s="34"/>
      <c r="K89" s="34"/>
      <c r="L89" s="34" t="s">
        <v>164</v>
      </c>
      <c r="M89" s="34"/>
      <c r="N89" s="34"/>
      <c r="O89" s="35" t="s">
        <v>126</v>
      </c>
      <c r="P89" s="35"/>
      <c r="Q89" s="31">
        <f>1000000</f>
        <v>1000000</v>
      </c>
      <c r="R89" s="31"/>
      <c r="S89" s="31"/>
      <c r="T89" s="36" t="s">
        <v>45</v>
      </c>
      <c r="U89" s="36"/>
      <c r="V89" s="36"/>
      <c r="W89" s="36"/>
      <c r="X89" s="36"/>
      <c r="Y89" s="32">
        <f>1000000</f>
        <v>1000000</v>
      </c>
      <c r="Z89" s="32"/>
    </row>
    <row r="90" spans="1:26" s="1" customFormat="1" ht="14.1" customHeight="1" x14ac:dyDescent="0.2">
      <c r="A90" s="33" t="s">
        <v>119</v>
      </c>
      <c r="B90" s="33"/>
      <c r="C90" s="33"/>
      <c r="D90" s="33"/>
      <c r="E90" s="33"/>
      <c r="F90" s="33"/>
      <c r="G90" s="33"/>
      <c r="H90" s="33"/>
      <c r="I90" s="34" t="s">
        <v>97</v>
      </c>
      <c r="J90" s="34"/>
      <c r="K90" s="34"/>
      <c r="L90" s="34" t="s">
        <v>164</v>
      </c>
      <c r="M90" s="34"/>
      <c r="N90" s="34"/>
      <c r="O90" s="35" t="s">
        <v>121</v>
      </c>
      <c r="P90" s="35"/>
      <c r="Q90" s="31">
        <f>5300700</f>
        <v>5300700</v>
      </c>
      <c r="R90" s="31"/>
      <c r="S90" s="31"/>
      <c r="T90" s="31">
        <f>454222.14</f>
        <v>454222.14</v>
      </c>
      <c r="U90" s="31"/>
      <c r="V90" s="31"/>
      <c r="W90" s="31"/>
      <c r="X90" s="31"/>
      <c r="Y90" s="32">
        <f>4846477.86</f>
        <v>4846477.8600000003</v>
      </c>
      <c r="Z90" s="32"/>
    </row>
    <row r="91" spans="1:26" s="1" customFormat="1" ht="14.1" customHeight="1" x14ac:dyDescent="0.2">
      <c r="A91" s="33" t="s">
        <v>127</v>
      </c>
      <c r="B91" s="33"/>
      <c r="C91" s="33"/>
      <c r="D91" s="33"/>
      <c r="E91" s="33"/>
      <c r="F91" s="33"/>
      <c r="G91" s="33"/>
      <c r="H91" s="33"/>
      <c r="I91" s="34" t="s">
        <v>97</v>
      </c>
      <c r="J91" s="34"/>
      <c r="K91" s="34"/>
      <c r="L91" s="34" t="s">
        <v>164</v>
      </c>
      <c r="M91" s="34"/>
      <c r="N91" s="34"/>
      <c r="O91" s="35" t="s">
        <v>128</v>
      </c>
      <c r="P91" s="35"/>
      <c r="Q91" s="31">
        <f>500000</f>
        <v>500000</v>
      </c>
      <c r="R91" s="31"/>
      <c r="S91" s="31"/>
      <c r="T91" s="36" t="s">
        <v>45</v>
      </c>
      <c r="U91" s="36"/>
      <c r="V91" s="36"/>
      <c r="W91" s="36"/>
      <c r="X91" s="36"/>
      <c r="Y91" s="32">
        <f>500000</f>
        <v>500000</v>
      </c>
      <c r="Z91" s="32"/>
    </row>
    <row r="92" spans="1:26" s="1" customFormat="1" ht="14.1" customHeight="1" x14ac:dyDescent="0.2">
      <c r="A92" s="33" t="s">
        <v>108</v>
      </c>
      <c r="B92" s="33"/>
      <c r="C92" s="33"/>
      <c r="D92" s="33"/>
      <c r="E92" s="33"/>
      <c r="F92" s="33"/>
      <c r="G92" s="33"/>
      <c r="H92" s="33"/>
      <c r="I92" s="34" t="s">
        <v>97</v>
      </c>
      <c r="J92" s="34"/>
      <c r="K92" s="34"/>
      <c r="L92" s="34" t="s">
        <v>164</v>
      </c>
      <c r="M92" s="34"/>
      <c r="N92" s="34"/>
      <c r="O92" s="35" t="s">
        <v>110</v>
      </c>
      <c r="P92" s="35"/>
      <c r="Q92" s="31">
        <f>2500000</f>
        <v>2500000</v>
      </c>
      <c r="R92" s="31"/>
      <c r="S92" s="31"/>
      <c r="T92" s="31">
        <f>683456</f>
        <v>683456</v>
      </c>
      <c r="U92" s="31"/>
      <c r="V92" s="31"/>
      <c r="W92" s="31"/>
      <c r="X92" s="31"/>
      <c r="Y92" s="32">
        <f>1816544</f>
        <v>1816544</v>
      </c>
      <c r="Z92" s="32"/>
    </row>
    <row r="93" spans="1:26" s="1" customFormat="1" ht="14.1" customHeight="1" x14ac:dyDescent="0.2">
      <c r="A93" s="33" t="s">
        <v>119</v>
      </c>
      <c r="B93" s="33"/>
      <c r="C93" s="33"/>
      <c r="D93" s="33"/>
      <c r="E93" s="33"/>
      <c r="F93" s="33"/>
      <c r="G93" s="33"/>
      <c r="H93" s="33"/>
      <c r="I93" s="34" t="s">
        <v>97</v>
      </c>
      <c r="J93" s="34"/>
      <c r="K93" s="34"/>
      <c r="L93" s="34" t="s">
        <v>166</v>
      </c>
      <c r="M93" s="34"/>
      <c r="N93" s="34"/>
      <c r="O93" s="35" t="s">
        <v>121</v>
      </c>
      <c r="P93" s="35"/>
      <c r="Q93" s="31">
        <f>10500000</f>
        <v>10500000</v>
      </c>
      <c r="R93" s="31"/>
      <c r="S93" s="31"/>
      <c r="T93" s="31">
        <f>299996.59</f>
        <v>299996.59000000003</v>
      </c>
      <c r="U93" s="31"/>
      <c r="V93" s="31"/>
      <c r="W93" s="31"/>
      <c r="X93" s="31"/>
      <c r="Y93" s="32">
        <f>10200003.41</f>
        <v>10200003.41</v>
      </c>
      <c r="Z93" s="32"/>
    </row>
    <row r="94" spans="1:26" s="1" customFormat="1" ht="14.1" customHeight="1" x14ac:dyDescent="0.2">
      <c r="A94" s="33" t="s">
        <v>119</v>
      </c>
      <c r="B94" s="33"/>
      <c r="C94" s="33"/>
      <c r="D94" s="33"/>
      <c r="E94" s="33"/>
      <c r="F94" s="33"/>
      <c r="G94" s="33"/>
      <c r="H94" s="33"/>
      <c r="I94" s="34" t="s">
        <v>97</v>
      </c>
      <c r="J94" s="34"/>
      <c r="K94" s="34"/>
      <c r="L94" s="34" t="s">
        <v>167</v>
      </c>
      <c r="M94" s="34"/>
      <c r="N94" s="34"/>
      <c r="O94" s="35" t="s">
        <v>121</v>
      </c>
      <c r="P94" s="35"/>
      <c r="Q94" s="31">
        <f>180000</f>
        <v>180000</v>
      </c>
      <c r="R94" s="31"/>
      <c r="S94" s="31"/>
      <c r="T94" s="31">
        <f>30000</f>
        <v>30000</v>
      </c>
      <c r="U94" s="31"/>
      <c r="V94" s="31"/>
      <c r="W94" s="31"/>
      <c r="X94" s="31"/>
      <c r="Y94" s="32">
        <f>150000</f>
        <v>150000</v>
      </c>
      <c r="Z94" s="32"/>
    </row>
    <row r="95" spans="1:26" s="1" customFormat="1" ht="14.1" customHeight="1" x14ac:dyDescent="0.2">
      <c r="A95" s="33" t="s">
        <v>119</v>
      </c>
      <c r="B95" s="33"/>
      <c r="C95" s="33"/>
      <c r="D95" s="33"/>
      <c r="E95" s="33"/>
      <c r="F95" s="33"/>
      <c r="G95" s="33"/>
      <c r="H95" s="33"/>
      <c r="I95" s="34" t="s">
        <v>97</v>
      </c>
      <c r="J95" s="34"/>
      <c r="K95" s="34"/>
      <c r="L95" s="34" t="s">
        <v>168</v>
      </c>
      <c r="M95" s="34"/>
      <c r="N95" s="34"/>
      <c r="O95" s="35" t="s">
        <v>121</v>
      </c>
      <c r="P95" s="35"/>
      <c r="Q95" s="31">
        <f>3899600</f>
        <v>3899600</v>
      </c>
      <c r="R95" s="31"/>
      <c r="S95" s="31"/>
      <c r="T95" s="36" t="s">
        <v>45</v>
      </c>
      <c r="U95" s="36"/>
      <c r="V95" s="36"/>
      <c r="W95" s="36"/>
      <c r="X95" s="36"/>
      <c r="Y95" s="32">
        <f>3899600</f>
        <v>3899600</v>
      </c>
      <c r="Z95" s="32"/>
    </row>
    <row r="96" spans="1:26" s="1" customFormat="1" ht="33.950000000000003" customHeight="1" x14ac:dyDescent="0.2">
      <c r="A96" s="33" t="s">
        <v>169</v>
      </c>
      <c r="B96" s="33"/>
      <c r="C96" s="33"/>
      <c r="D96" s="33"/>
      <c r="E96" s="33"/>
      <c r="F96" s="33"/>
      <c r="G96" s="33"/>
      <c r="H96" s="33"/>
      <c r="I96" s="34" t="s">
        <v>97</v>
      </c>
      <c r="J96" s="34"/>
      <c r="K96" s="34"/>
      <c r="L96" s="34" t="s">
        <v>170</v>
      </c>
      <c r="M96" s="34"/>
      <c r="N96" s="34"/>
      <c r="O96" s="35" t="s">
        <v>10</v>
      </c>
      <c r="P96" s="35"/>
      <c r="Q96" s="36" t="s">
        <v>45</v>
      </c>
      <c r="R96" s="36"/>
      <c r="S96" s="36"/>
      <c r="T96" s="31">
        <f>0</f>
        <v>0</v>
      </c>
      <c r="U96" s="31"/>
      <c r="V96" s="31"/>
      <c r="W96" s="31"/>
      <c r="X96" s="31"/>
      <c r="Y96" s="37" t="s">
        <v>45</v>
      </c>
      <c r="Z96" s="37"/>
    </row>
    <row r="97" spans="1:26" s="1" customFormat="1" ht="14.1" customHeight="1" x14ac:dyDescent="0.2">
      <c r="A97" s="33" t="s">
        <v>119</v>
      </c>
      <c r="B97" s="33"/>
      <c r="C97" s="33"/>
      <c r="D97" s="33"/>
      <c r="E97" s="33"/>
      <c r="F97" s="33"/>
      <c r="G97" s="33"/>
      <c r="H97" s="33"/>
      <c r="I97" s="34" t="s">
        <v>97</v>
      </c>
      <c r="J97" s="34"/>
      <c r="K97" s="34"/>
      <c r="L97" s="34" t="s">
        <v>171</v>
      </c>
      <c r="M97" s="34"/>
      <c r="N97" s="34"/>
      <c r="O97" s="35" t="s">
        <v>121</v>
      </c>
      <c r="P97" s="35"/>
      <c r="Q97" s="31">
        <f>0</f>
        <v>0</v>
      </c>
      <c r="R97" s="31"/>
      <c r="S97" s="31"/>
      <c r="T97" s="36" t="s">
        <v>45</v>
      </c>
      <c r="U97" s="36"/>
      <c r="V97" s="36"/>
      <c r="W97" s="36"/>
      <c r="X97" s="36"/>
      <c r="Y97" s="37" t="s">
        <v>45</v>
      </c>
      <c r="Z97" s="37"/>
    </row>
    <row r="98" spans="1:26" s="1" customFormat="1" ht="14.1" customHeight="1" x14ac:dyDescent="0.2">
      <c r="A98" s="33" t="s">
        <v>127</v>
      </c>
      <c r="B98" s="33"/>
      <c r="C98" s="33"/>
      <c r="D98" s="33"/>
      <c r="E98" s="33"/>
      <c r="F98" s="33"/>
      <c r="G98" s="33"/>
      <c r="H98" s="33"/>
      <c r="I98" s="34" t="s">
        <v>97</v>
      </c>
      <c r="J98" s="34"/>
      <c r="K98" s="34"/>
      <c r="L98" s="34" t="s">
        <v>172</v>
      </c>
      <c r="M98" s="34"/>
      <c r="N98" s="34"/>
      <c r="O98" s="35" t="s">
        <v>128</v>
      </c>
      <c r="P98" s="35"/>
      <c r="Q98" s="31">
        <f>154924000</f>
        <v>154924000</v>
      </c>
      <c r="R98" s="31"/>
      <c r="S98" s="31"/>
      <c r="T98" s="36" t="s">
        <v>45</v>
      </c>
      <c r="U98" s="36"/>
      <c r="V98" s="36"/>
      <c r="W98" s="36"/>
      <c r="X98" s="36"/>
      <c r="Y98" s="32">
        <f>154924000</f>
        <v>154924000</v>
      </c>
      <c r="Z98" s="32"/>
    </row>
    <row r="99" spans="1:26" s="1" customFormat="1" ht="14.1" customHeight="1" x14ac:dyDescent="0.2">
      <c r="A99" s="33" t="s">
        <v>125</v>
      </c>
      <c r="B99" s="33"/>
      <c r="C99" s="33"/>
      <c r="D99" s="33"/>
      <c r="E99" s="33"/>
      <c r="F99" s="33"/>
      <c r="G99" s="33"/>
      <c r="H99" s="33"/>
      <c r="I99" s="34" t="s">
        <v>97</v>
      </c>
      <c r="J99" s="34"/>
      <c r="K99" s="34"/>
      <c r="L99" s="34" t="s">
        <v>173</v>
      </c>
      <c r="M99" s="34"/>
      <c r="N99" s="34"/>
      <c r="O99" s="35" t="s">
        <v>126</v>
      </c>
      <c r="P99" s="35"/>
      <c r="Q99" s="31">
        <f>740000</f>
        <v>740000</v>
      </c>
      <c r="R99" s="31"/>
      <c r="S99" s="31"/>
      <c r="T99" s="31">
        <f>435652.54</f>
        <v>435652.54</v>
      </c>
      <c r="U99" s="31"/>
      <c r="V99" s="31"/>
      <c r="W99" s="31"/>
      <c r="X99" s="31"/>
      <c r="Y99" s="32">
        <f>304347.46</f>
        <v>304347.46000000002</v>
      </c>
      <c r="Z99" s="32"/>
    </row>
    <row r="100" spans="1:26" s="1" customFormat="1" ht="14.1" customHeight="1" x14ac:dyDescent="0.2">
      <c r="A100" s="33" t="s">
        <v>119</v>
      </c>
      <c r="B100" s="33"/>
      <c r="C100" s="33"/>
      <c r="D100" s="33"/>
      <c r="E100" s="33"/>
      <c r="F100" s="33"/>
      <c r="G100" s="33"/>
      <c r="H100" s="33"/>
      <c r="I100" s="34" t="s">
        <v>97</v>
      </c>
      <c r="J100" s="34"/>
      <c r="K100" s="34"/>
      <c r="L100" s="34" t="s">
        <v>173</v>
      </c>
      <c r="M100" s="34"/>
      <c r="N100" s="34"/>
      <c r="O100" s="35" t="s">
        <v>121</v>
      </c>
      <c r="P100" s="35"/>
      <c r="Q100" s="31">
        <f>1260000</f>
        <v>1260000</v>
      </c>
      <c r="R100" s="31"/>
      <c r="S100" s="31"/>
      <c r="T100" s="36" t="s">
        <v>45</v>
      </c>
      <c r="U100" s="36"/>
      <c r="V100" s="36"/>
      <c r="W100" s="36"/>
      <c r="X100" s="36"/>
      <c r="Y100" s="32">
        <f>1260000</f>
        <v>1260000</v>
      </c>
      <c r="Z100" s="32"/>
    </row>
    <row r="101" spans="1:26" s="1" customFormat="1" ht="14.1" customHeight="1" x14ac:dyDescent="0.2">
      <c r="A101" s="33" t="s">
        <v>130</v>
      </c>
      <c r="B101" s="33"/>
      <c r="C101" s="33"/>
      <c r="D101" s="33"/>
      <c r="E101" s="33"/>
      <c r="F101" s="33"/>
      <c r="G101" s="33"/>
      <c r="H101" s="33"/>
      <c r="I101" s="34" t="s">
        <v>97</v>
      </c>
      <c r="J101" s="34"/>
      <c r="K101" s="34"/>
      <c r="L101" s="34" t="s">
        <v>174</v>
      </c>
      <c r="M101" s="34"/>
      <c r="N101" s="34"/>
      <c r="O101" s="35" t="s">
        <v>132</v>
      </c>
      <c r="P101" s="35"/>
      <c r="Q101" s="31">
        <f>2100000</f>
        <v>2100000</v>
      </c>
      <c r="R101" s="31"/>
      <c r="S101" s="31"/>
      <c r="T101" s="31">
        <f>455554.68</f>
        <v>455554.68</v>
      </c>
      <c r="U101" s="31"/>
      <c r="V101" s="31"/>
      <c r="W101" s="31"/>
      <c r="X101" s="31"/>
      <c r="Y101" s="32">
        <f>1644445.32</f>
        <v>1644445.32</v>
      </c>
      <c r="Z101" s="32"/>
    </row>
    <row r="102" spans="1:26" s="1" customFormat="1" ht="14.1" customHeight="1" x14ac:dyDescent="0.2">
      <c r="A102" s="33" t="s">
        <v>119</v>
      </c>
      <c r="B102" s="33"/>
      <c r="C102" s="33"/>
      <c r="D102" s="33"/>
      <c r="E102" s="33"/>
      <c r="F102" s="33"/>
      <c r="G102" s="33"/>
      <c r="H102" s="33"/>
      <c r="I102" s="34" t="s">
        <v>97</v>
      </c>
      <c r="J102" s="34"/>
      <c r="K102" s="34"/>
      <c r="L102" s="34" t="s">
        <v>175</v>
      </c>
      <c r="M102" s="34"/>
      <c r="N102" s="34"/>
      <c r="O102" s="35" t="s">
        <v>121</v>
      </c>
      <c r="P102" s="35"/>
      <c r="Q102" s="31">
        <f>700000</f>
        <v>700000</v>
      </c>
      <c r="R102" s="31"/>
      <c r="S102" s="31"/>
      <c r="T102" s="36" t="s">
        <v>45</v>
      </c>
      <c r="U102" s="36"/>
      <c r="V102" s="36"/>
      <c r="W102" s="36"/>
      <c r="X102" s="36"/>
      <c r="Y102" s="32">
        <f>700000</f>
        <v>700000</v>
      </c>
      <c r="Z102" s="32"/>
    </row>
    <row r="103" spans="1:26" s="1" customFormat="1" ht="14.1" customHeight="1" x14ac:dyDescent="0.2">
      <c r="A103" s="33" t="s">
        <v>163</v>
      </c>
      <c r="B103" s="33"/>
      <c r="C103" s="33"/>
      <c r="D103" s="33"/>
      <c r="E103" s="33"/>
      <c r="F103" s="33"/>
      <c r="G103" s="33"/>
      <c r="H103" s="33"/>
      <c r="I103" s="34" t="s">
        <v>97</v>
      </c>
      <c r="J103" s="34"/>
      <c r="K103" s="34"/>
      <c r="L103" s="34" t="s">
        <v>176</v>
      </c>
      <c r="M103" s="34"/>
      <c r="N103" s="34"/>
      <c r="O103" s="35" t="s">
        <v>165</v>
      </c>
      <c r="P103" s="35"/>
      <c r="Q103" s="31">
        <f>600000</f>
        <v>600000</v>
      </c>
      <c r="R103" s="31"/>
      <c r="S103" s="31"/>
      <c r="T103" s="36" t="s">
        <v>45</v>
      </c>
      <c r="U103" s="36"/>
      <c r="V103" s="36"/>
      <c r="W103" s="36"/>
      <c r="X103" s="36"/>
      <c r="Y103" s="32">
        <f>600000</f>
        <v>600000</v>
      </c>
      <c r="Z103" s="32"/>
    </row>
    <row r="104" spans="1:26" s="1" customFormat="1" ht="14.1" customHeight="1" x14ac:dyDescent="0.2">
      <c r="A104" s="33" t="s">
        <v>119</v>
      </c>
      <c r="B104" s="33"/>
      <c r="C104" s="33"/>
      <c r="D104" s="33"/>
      <c r="E104" s="33"/>
      <c r="F104" s="33"/>
      <c r="G104" s="33"/>
      <c r="H104" s="33"/>
      <c r="I104" s="34" t="s">
        <v>97</v>
      </c>
      <c r="J104" s="34"/>
      <c r="K104" s="34"/>
      <c r="L104" s="34" t="s">
        <v>176</v>
      </c>
      <c r="M104" s="34"/>
      <c r="N104" s="34"/>
      <c r="O104" s="35" t="s">
        <v>121</v>
      </c>
      <c r="P104" s="35"/>
      <c r="Q104" s="31">
        <f>900000</f>
        <v>900000</v>
      </c>
      <c r="R104" s="31"/>
      <c r="S104" s="31"/>
      <c r="T104" s="36" t="s">
        <v>45</v>
      </c>
      <c r="U104" s="36"/>
      <c r="V104" s="36"/>
      <c r="W104" s="36"/>
      <c r="X104" s="36"/>
      <c r="Y104" s="32">
        <f>900000</f>
        <v>900000</v>
      </c>
      <c r="Z104" s="32"/>
    </row>
    <row r="105" spans="1:26" s="1" customFormat="1" ht="14.1" customHeight="1" x14ac:dyDescent="0.2">
      <c r="A105" s="33" t="s">
        <v>163</v>
      </c>
      <c r="B105" s="33"/>
      <c r="C105" s="33"/>
      <c r="D105" s="33"/>
      <c r="E105" s="33"/>
      <c r="F105" s="33"/>
      <c r="G105" s="33"/>
      <c r="H105" s="33"/>
      <c r="I105" s="34" t="s">
        <v>97</v>
      </c>
      <c r="J105" s="34"/>
      <c r="K105" s="34"/>
      <c r="L105" s="34" t="s">
        <v>177</v>
      </c>
      <c r="M105" s="34"/>
      <c r="N105" s="34"/>
      <c r="O105" s="35" t="s">
        <v>165</v>
      </c>
      <c r="P105" s="35"/>
      <c r="Q105" s="31">
        <f>1763073.66</f>
        <v>1763073.66</v>
      </c>
      <c r="R105" s="31"/>
      <c r="S105" s="31"/>
      <c r="T105" s="31">
        <f>1355257.88</f>
        <v>1355257.88</v>
      </c>
      <c r="U105" s="31"/>
      <c r="V105" s="31"/>
      <c r="W105" s="31"/>
      <c r="X105" s="31"/>
      <c r="Y105" s="32">
        <f>407815.78</f>
        <v>407815.78</v>
      </c>
      <c r="Z105" s="32"/>
    </row>
    <row r="106" spans="1:26" s="1" customFormat="1" ht="14.1" customHeight="1" x14ac:dyDescent="0.2">
      <c r="A106" s="33" t="s">
        <v>125</v>
      </c>
      <c r="B106" s="33"/>
      <c r="C106" s="33"/>
      <c r="D106" s="33"/>
      <c r="E106" s="33"/>
      <c r="F106" s="33"/>
      <c r="G106" s="33"/>
      <c r="H106" s="33"/>
      <c r="I106" s="34" t="s">
        <v>97</v>
      </c>
      <c r="J106" s="34"/>
      <c r="K106" s="34"/>
      <c r="L106" s="34" t="s">
        <v>177</v>
      </c>
      <c r="M106" s="34"/>
      <c r="N106" s="34"/>
      <c r="O106" s="35" t="s">
        <v>126</v>
      </c>
      <c r="P106" s="35"/>
      <c r="Q106" s="31">
        <f>372400</f>
        <v>372400</v>
      </c>
      <c r="R106" s="31"/>
      <c r="S106" s="31"/>
      <c r="T106" s="36" t="s">
        <v>45</v>
      </c>
      <c r="U106" s="36"/>
      <c r="V106" s="36"/>
      <c r="W106" s="36"/>
      <c r="X106" s="36"/>
      <c r="Y106" s="32">
        <f>372400</f>
        <v>372400</v>
      </c>
      <c r="Z106" s="32"/>
    </row>
    <row r="107" spans="1:26" s="1" customFormat="1" ht="14.1" customHeight="1" x14ac:dyDescent="0.2">
      <c r="A107" s="33" t="s">
        <v>119</v>
      </c>
      <c r="B107" s="33"/>
      <c r="C107" s="33"/>
      <c r="D107" s="33"/>
      <c r="E107" s="33"/>
      <c r="F107" s="33"/>
      <c r="G107" s="33"/>
      <c r="H107" s="33"/>
      <c r="I107" s="34" t="s">
        <v>97</v>
      </c>
      <c r="J107" s="34"/>
      <c r="K107" s="34"/>
      <c r="L107" s="34" t="s">
        <v>177</v>
      </c>
      <c r="M107" s="34"/>
      <c r="N107" s="34"/>
      <c r="O107" s="35" t="s">
        <v>121</v>
      </c>
      <c r="P107" s="35"/>
      <c r="Q107" s="31">
        <f>13665622</f>
        <v>13665622</v>
      </c>
      <c r="R107" s="31"/>
      <c r="S107" s="31"/>
      <c r="T107" s="31">
        <f>346684.2</f>
        <v>346684.2</v>
      </c>
      <c r="U107" s="31"/>
      <c r="V107" s="31"/>
      <c r="W107" s="31"/>
      <c r="X107" s="31"/>
      <c r="Y107" s="32">
        <f>13318937.8</f>
        <v>13318937.800000001</v>
      </c>
      <c r="Z107" s="32"/>
    </row>
    <row r="108" spans="1:26" s="1" customFormat="1" ht="14.1" customHeight="1" x14ac:dyDescent="0.2">
      <c r="A108" s="33" t="s">
        <v>127</v>
      </c>
      <c r="B108" s="33"/>
      <c r="C108" s="33"/>
      <c r="D108" s="33"/>
      <c r="E108" s="33"/>
      <c r="F108" s="33"/>
      <c r="G108" s="33"/>
      <c r="H108" s="33"/>
      <c r="I108" s="34" t="s">
        <v>97</v>
      </c>
      <c r="J108" s="34"/>
      <c r="K108" s="34"/>
      <c r="L108" s="34" t="s">
        <v>177</v>
      </c>
      <c r="M108" s="34"/>
      <c r="N108" s="34"/>
      <c r="O108" s="35" t="s">
        <v>128</v>
      </c>
      <c r="P108" s="35"/>
      <c r="Q108" s="31">
        <f>600000</f>
        <v>600000</v>
      </c>
      <c r="R108" s="31"/>
      <c r="S108" s="31"/>
      <c r="T108" s="31">
        <f>598107.98</f>
        <v>598107.98</v>
      </c>
      <c r="U108" s="31"/>
      <c r="V108" s="31"/>
      <c r="W108" s="31"/>
      <c r="X108" s="31"/>
      <c r="Y108" s="32">
        <f>1892.02</f>
        <v>1892.02</v>
      </c>
      <c r="Z108" s="32"/>
    </row>
    <row r="109" spans="1:26" s="1" customFormat="1" ht="14.1" customHeight="1" x14ac:dyDescent="0.2">
      <c r="A109" s="33" t="s">
        <v>133</v>
      </c>
      <c r="B109" s="33"/>
      <c r="C109" s="33"/>
      <c r="D109" s="33"/>
      <c r="E109" s="33"/>
      <c r="F109" s="33"/>
      <c r="G109" s="33"/>
      <c r="H109" s="33"/>
      <c r="I109" s="34" t="s">
        <v>97</v>
      </c>
      <c r="J109" s="34"/>
      <c r="K109" s="34"/>
      <c r="L109" s="34" t="s">
        <v>177</v>
      </c>
      <c r="M109" s="34"/>
      <c r="N109" s="34"/>
      <c r="O109" s="35" t="s">
        <v>134</v>
      </c>
      <c r="P109" s="35"/>
      <c r="Q109" s="31">
        <f>300000</f>
        <v>300000</v>
      </c>
      <c r="R109" s="31"/>
      <c r="S109" s="31"/>
      <c r="T109" s="36" t="s">
        <v>45</v>
      </c>
      <c r="U109" s="36"/>
      <c r="V109" s="36"/>
      <c r="W109" s="36"/>
      <c r="X109" s="36"/>
      <c r="Y109" s="32">
        <f>300000</f>
        <v>300000</v>
      </c>
      <c r="Z109" s="32"/>
    </row>
    <row r="110" spans="1:26" s="1" customFormat="1" ht="14.1" customHeight="1" x14ac:dyDescent="0.2">
      <c r="A110" s="33" t="s">
        <v>125</v>
      </c>
      <c r="B110" s="33"/>
      <c r="C110" s="33"/>
      <c r="D110" s="33"/>
      <c r="E110" s="33"/>
      <c r="F110" s="33"/>
      <c r="G110" s="33"/>
      <c r="H110" s="33"/>
      <c r="I110" s="34" t="s">
        <v>97</v>
      </c>
      <c r="J110" s="34"/>
      <c r="K110" s="34"/>
      <c r="L110" s="34" t="s">
        <v>178</v>
      </c>
      <c r="M110" s="34"/>
      <c r="N110" s="34"/>
      <c r="O110" s="35" t="s">
        <v>126</v>
      </c>
      <c r="P110" s="35"/>
      <c r="Q110" s="31">
        <f>600000</f>
        <v>600000</v>
      </c>
      <c r="R110" s="31"/>
      <c r="S110" s="31"/>
      <c r="T110" s="36" t="s">
        <v>45</v>
      </c>
      <c r="U110" s="36"/>
      <c r="V110" s="36"/>
      <c r="W110" s="36"/>
      <c r="X110" s="36"/>
      <c r="Y110" s="32">
        <f>600000</f>
        <v>600000</v>
      </c>
      <c r="Z110" s="32"/>
    </row>
    <row r="111" spans="1:26" s="1" customFormat="1" ht="14.1" customHeight="1" x14ac:dyDescent="0.2">
      <c r="A111" s="33" t="s">
        <v>119</v>
      </c>
      <c r="B111" s="33"/>
      <c r="C111" s="33"/>
      <c r="D111" s="33"/>
      <c r="E111" s="33"/>
      <c r="F111" s="33"/>
      <c r="G111" s="33"/>
      <c r="H111" s="33"/>
      <c r="I111" s="34" t="s">
        <v>97</v>
      </c>
      <c r="J111" s="34"/>
      <c r="K111" s="34"/>
      <c r="L111" s="34" t="s">
        <v>178</v>
      </c>
      <c r="M111" s="34"/>
      <c r="N111" s="34"/>
      <c r="O111" s="35" t="s">
        <v>121</v>
      </c>
      <c r="P111" s="35"/>
      <c r="Q111" s="31">
        <f>1800000</f>
        <v>1800000</v>
      </c>
      <c r="R111" s="31"/>
      <c r="S111" s="31"/>
      <c r="T111" s="36" t="s">
        <v>45</v>
      </c>
      <c r="U111" s="36"/>
      <c r="V111" s="36"/>
      <c r="W111" s="36"/>
      <c r="X111" s="36"/>
      <c r="Y111" s="32">
        <f>1800000</f>
        <v>1800000</v>
      </c>
      <c r="Z111" s="32"/>
    </row>
    <row r="112" spans="1:26" s="1" customFormat="1" ht="14.1" customHeight="1" x14ac:dyDescent="0.2">
      <c r="A112" s="33" t="s">
        <v>119</v>
      </c>
      <c r="B112" s="33"/>
      <c r="C112" s="33"/>
      <c r="D112" s="33"/>
      <c r="E112" s="33"/>
      <c r="F112" s="33"/>
      <c r="G112" s="33"/>
      <c r="H112" s="33"/>
      <c r="I112" s="34" t="s">
        <v>97</v>
      </c>
      <c r="J112" s="34"/>
      <c r="K112" s="34"/>
      <c r="L112" s="34" t="s">
        <v>179</v>
      </c>
      <c r="M112" s="34"/>
      <c r="N112" s="34"/>
      <c r="O112" s="35" t="s">
        <v>121</v>
      </c>
      <c r="P112" s="35"/>
      <c r="Q112" s="31">
        <f>668329.5</f>
        <v>668329.5</v>
      </c>
      <c r="R112" s="31"/>
      <c r="S112" s="31"/>
      <c r="T112" s="31">
        <f>111732.4</f>
        <v>111732.4</v>
      </c>
      <c r="U112" s="31"/>
      <c r="V112" s="31"/>
      <c r="W112" s="31"/>
      <c r="X112" s="31"/>
      <c r="Y112" s="32">
        <f>556597.1</f>
        <v>556597.1</v>
      </c>
      <c r="Z112" s="32"/>
    </row>
    <row r="113" spans="1:26" s="1" customFormat="1" ht="14.1" customHeight="1" x14ac:dyDescent="0.2">
      <c r="A113" s="33" t="s">
        <v>127</v>
      </c>
      <c r="B113" s="33"/>
      <c r="C113" s="33"/>
      <c r="D113" s="33"/>
      <c r="E113" s="33"/>
      <c r="F113" s="33"/>
      <c r="G113" s="33"/>
      <c r="H113" s="33"/>
      <c r="I113" s="34" t="s">
        <v>97</v>
      </c>
      <c r="J113" s="34"/>
      <c r="K113" s="34"/>
      <c r="L113" s="34" t="s">
        <v>179</v>
      </c>
      <c r="M113" s="34"/>
      <c r="N113" s="34"/>
      <c r="O113" s="35" t="s">
        <v>128</v>
      </c>
      <c r="P113" s="35"/>
      <c r="Q113" s="31">
        <f>470000</f>
        <v>470000</v>
      </c>
      <c r="R113" s="31"/>
      <c r="S113" s="31"/>
      <c r="T113" s="36" t="s">
        <v>45</v>
      </c>
      <c r="U113" s="36"/>
      <c r="V113" s="36"/>
      <c r="W113" s="36"/>
      <c r="X113" s="36"/>
      <c r="Y113" s="32">
        <f>470000</f>
        <v>470000</v>
      </c>
      <c r="Z113" s="32"/>
    </row>
    <row r="114" spans="1:26" s="1" customFormat="1" ht="14.1" customHeight="1" x14ac:dyDescent="0.2">
      <c r="A114" s="33" t="s">
        <v>119</v>
      </c>
      <c r="B114" s="33"/>
      <c r="C114" s="33"/>
      <c r="D114" s="33"/>
      <c r="E114" s="33"/>
      <c r="F114" s="33"/>
      <c r="G114" s="33"/>
      <c r="H114" s="33"/>
      <c r="I114" s="34" t="s">
        <v>97</v>
      </c>
      <c r="J114" s="34"/>
      <c r="K114" s="34"/>
      <c r="L114" s="34" t="s">
        <v>180</v>
      </c>
      <c r="M114" s="34"/>
      <c r="N114" s="34"/>
      <c r="O114" s="35" t="s">
        <v>121</v>
      </c>
      <c r="P114" s="35"/>
      <c r="Q114" s="31">
        <f>500000</f>
        <v>500000</v>
      </c>
      <c r="R114" s="31"/>
      <c r="S114" s="31"/>
      <c r="T114" s="36" t="s">
        <v>45</v>
      </c>
      <c r="U114" s="36"/>
      <c r="V114" s="36"/>
      <c r="W114" s="36"/>
      <c r="X114" s="36"/>
      <c r="Y114" s="32">
        <f>500000</f>
        <v>500000</v>
      </c>
      <c r="Z114" s="32"/>
    </row>
    <row r="115" spans="1:26" s="1" customFormat="1" ht="14.1" customHeight="1" x14ac:dyDescent="0.2">
      <c r="A115" s="33" t="s">
        <v>163</v>
      </c>
      <c r="B115" s="33"/>
      <c r="C115" s="33"/>
      <c r="D115" s="33"/>
      <c r="E115" s="33"/>
      <c r="F115" s="33"/>
      <c r="G115" s="33"/>
      <c r="H115" s="33"/>
      <c r="I115" s="34" t="s">
        <v>97</v>
      </c>
      <c r="J115" s="34"/>
      <c r="K115" s="34"/>
      <c r="L115" s="34" t="s">
        <v>181</v>
      </c>
      <c r="M115" s="34"/>
      <c r="N115" s="34"/>
      <c r="O115" s="35" t="s">
        <v>165</v>
      </c>
      <c r="P115" s="35"/>
      <c r="Q115" s="31">
        <f>11000</f>
        <v>11000</v>
      </c>
      <c r="R115" s="31"/>
      <c r="S115" s="31"/>
      <c r="T115" s="36" t="s">
        <v>45</v>
      </c>
      <c r="U115" s="36"/>
      <c r="V115" s="36"/>
      <c r="W115" s="36"/>
      <c r="X115" s="36"/>
      <c r="Y115" s="32">
        <f>11000</f>
        <v>11000</v>
      </c>
      <c r="Z115" s="32"/>
    </row>
    <row r="116" spans="1:26" s="1" customFormat="1" ht="14.1" customHeight="1" x14ac:dyDescent="0.2">
      <c r="A116" s="33" t="s">
        <v>119</v>
      </c>
      <c r="B116" s="33"/>
      <c r="C116" s="33"/>
      <c r="D116" s="33"/>
      <c r="E116" s="33"/>
      <c r="F116" s="33"/>
      <c r="G116" s="33"/>
      <c r="H116" s="33"/>
      <c r="I116" s="34" t="s">
        <v>97</v>
      </c>
      <c r="J116" s="34"/>
      <c r="K116" s="34"/>
      <c r="L116" s="34" t="s">
        <v>181</v>
      </c>
      <c r="M116" s="34"/>
      <c r="N116" s="34"/>
      <c r="O116" s="35" t="s">
        <v>121</v>
      </c>
      <c r="P116" s="35"/>
      <c r="Q116" s="31">
        <f>50000</f>
        <v>50000</v>
      </c>
      <c r="R116" s="31"/>
      <c r="S116" s="31"/>
      <c r="T116" s="36" t="s">
        <v>45</v>
      </c>
      <c r="U116" s="36"/>
      <c r="V116" s="36"/>
      <c r="W116" s="36"/>
      <c r="X116" s="36"/>
      <c r="Y116" s="32">
        <f>50000</f>
        <v>50000</v>
      </c>
      <c r="Z116" s="32"/>
    </row>
    <row r="117" spans="1:26" s="1" customFormat="1" ht="24" customHeight="1" x14ac:dyDescent="0.2">
      <c r="A117" s="33" t="s">
        <v>146</v>
      </c>
      <c r="B117" s="33"/>
      <c r="C117" s="33"/>
      <c r="D117" s="33"/>
      <c r="E117" s="33"/>
      <c r="F117" s="33"/>
      <c r="G117" s="33"/>
      <c r="H117" s="33"/>
      <c r="I117" s="34" t="s">
        <v>97</v>
      </c>
      <c r="J117" s="34"/>
      <c r="K117" s="34"/>
      <c r="L117" s="34" t="s">
        <v>181</v>
      </c>
      <c r="M117" s="34"/>
      <c r="N117" s="34"/>
      <c r="O117" s="35" t="s">
        <v>148</v>
      </c>
      <c r="P117" s="35"/>
      <c r="Q117" s="31">
        <f>89000</f>
        <v>89000</v>
      </c>
      <c r="R117" s="31"/>
      <c r="S117" s="31"/>
      <c r="T117" s="36" t="s">
        <v>45</v>
      </c>
      <c r="U117" s="36"/>
      <c r="V117" s="36"/>
      <c r="W117" s="36"/>
      <c r="X117" s="36"/>
      <c r="Y117" s="32">
        <f>89000</f>
        <v>89000</v>
      </c>
      <c r="Z117" s="32"/>
    </row>
    <row r="118" spans="1:26" s="1" customFormat="1" ht="14.1" customHeight="1" x14ac:dyDescent="0.2">
      <c r="A118" s="33" t="s">
        <v>98</v>
      </c>
      <c r="B118" s="33"/>
      <c r="C118" s="33"/>
      <c r="D118" s="33"/>
      <c r="E118" s="33"/>
      <c r="F118" s="33"/>
      <c r="G118" s="33"/>
      <c r="H118" s="33"/>
      <c r="I118" s="34" t="s">
        <v>97</v>
      </c>
      <c r="J118" s="34"/>
      <c r="K118" s="34"/>
      <c r="L118" s="34" t="s">
        <v>182</v>
      </c>
      <c r="M118" s="34"/>
      <c r="N118" s="34"/>
      <c r="O118" s="35" t="s">
        <v>100</v>
      </c>
      <c r="P118" s="35"/>
      <c r="Q118" s="31">
        <f>8270000</f>
        <v>8270000</v>
      </c>
      <c r="R118" s="31"/>
      <c r="S118" s="31"/>
      <c r="T118" s="31">
        <f>1506361.5</f>
        <v>1506361.5</v>
      </c>
      <c r="U118" s="31"/>
      <c r="V118" s="31"/>
      <c r="W118" s="31"/>
      <c r="X118" s="31"/>
      <c r="Y118" s="32">
        <f>6763638.5</f>
        <v>6763638.5</v>
      </c>
      <c r="Z118" s="32"/>
    </row>
    <row r="119" spans="1:26" s="1" customFormat="1" ht="14.1" customHeight="1" x14ac:dyDescent="0.2">
      <c r="A119" s="33" t="s">
        <v>105</v>
      </c>
      <c r="B119" s="33"/>
      <c r="C119" s="33"/>
      <c r="D119" s="33"/>
      <c r="E119" s="33"/>
      <c r="F119" s="33"/>
      <c r="G119" s="33"/>
      <c r="H119" s="33"/>
      <c r="I119" s="34" t="s">
        <v>97</v>
      </c>
      <c r="J119" s="34"/>
      <c r="K119" s="34"/>
      <c r="L119" s="34" t="s">
        <v>182</v>
      </c>
      <c r="M119" s="34"/>
      <c r="N119" s="34"/>
      <c r="O119" s="35" t="s">
        <v>106</v>
      </c>
      <c r="P119" s="35"/>
      <c r="Q119" s="31">
        <f>30000</f>
        <v>30000</v>
      </c>
      <c r="R119" s="31"/>
      <c r="S119" s="31"/>
      <c r="T119" s="31">
        <f>12412.41</f>
        <v>12412.41</v>
      </c>
      <c r="U119" s="31"/>
      <c r="V119" s="31"/>
      <c r="W119" s="31"/>
      <c r="X119" s="31"/>
      <c r="Y119" s="32">
        <f>17587.59</f>
        <v>17587.59</v>
      </c>
      <c r="Z119" s="32"/>
    </row>
    <row r="120" spans="1:26" s="1" customFormat="1" ht="14.1" customHeight="1" x14ac:dyDescent="0.2">
      <c r="A120" s="33" t="s">
        <v>183</v>
      </c>
      <c r="B120" s="33"/>
      <c r="C120" s="33"/>
      <c r="D120" s="33"/>
      <c r="E120" s="33"/>
      <c r="F120" s="33"/>
      <c r="G120" s="33"/>
      <c r="H120" s="33"/>
      <c r="I120" s="34" t="s">
        <v>97</v>
      </c>
      <c r="J120" s="34"/>
      <c r="K120" s="34"/>
      <c r="L120" s="34" t="s">
        <v>184</v>
      </c>
      <c r="M120" s="34"/>
      <c r="N120" s="34"/>
      <c r="O120" s="35" t="s">
        <v>185</v>
      </c>
      <c r="P120" s="35"/>
      <c r="Q120" s="31">
        <f>50000</f>
        <v>50000</v>
      </c>
      <c r="R120" s="31"/>
      <c r="S120" s="31"/>
      <c r="T120" s="31">
        <f>9607.93</f>
        <v>9607.93</v>
      </c>
      <c r="U120" s="31"/>
      <c r="V120" s="31"/>
      <c r="W120" s="31"/>
      <c r="X120" s="31"/>
      <c r="Y120" s="32">
        <f>40392.07</f>
        <v>40392.07</v>
      </c>
      <c r="Z120" s="32"/>
    </row>
    <row r="121" spans="1:26" s="1" customFormat="1" ht="14.1" customHeight="1" x14ac:dyDescent="0.2">
      <c r="A121" s="33" t="s">
        <v>101</v>
      </c>
      <c r="B121" s="33"/>
      <c r="C121" s="33"/>
      <c r="D121" s="33"/>
      <c r="E121" s="33"/>
      <c r="F121" s="33"/>
      <c r="G121" s="33"/>
      <c r="H121" s="33"/>
      <c r="I121" s="34" t="s">
        <v>97</v>
      </c>
      <c r="J121" s="34"/>
      <c r="K121" s="34"/>
      <c r="L121" s="34" t="s">
        <v>186</v>
      </c>
      <c r="M121" s="34"/>
      <c r="N121" s="34"/>
      <c r="O121" s="35" t="s">
        <v>103</v>
      </c>
      <c r="P121" s="35"/>
      <c r="Q121" s="31">
        <f>2398000</f>
        <v>2398000</v>
      </c>
      <c r="R121" s="31"/>
      <c r="S121" s="31"/>
      <c r="T121" s="31">
        <f>401593.21</f>
        <v>401593.21</v>
      </c>
      <c r="U121" s="31"/>
      <c r="V121" s="31"/>
      <c r="W121" s="31"/>
      <c r="X121" s="31"/>
      <c r="Y121" s="32">
        <f>1996406.79</f>
        <v>1996406.79</v>
      </c>
      <c r="Z121" s="32"/>
    </row>
    <row r="122" spans="1:26" s="1" customFormat="1" ht="14.1" customHeight="1" x14ac:dyDescent="0.2">
      <c r="A122" s="33" t="s">
        <v>122</v>
      </c>
      <c r="B122" s="33"/>
      <c r="C122" s="33"/>
      <c r="D122" s="33"/>
      <c r="E122" s="33"/>
      <c r="F122" s="33"/>
      <c r="G122" s="33"/>
      <c r="H122" s="33"/>
      <c r="I122" s="34" t="s">
        <v>97</v>
      </c>
      <c r="J122" s="34"/>
      <c r="K122" s="34"/>
      <c r="L122" s="34" t="s">
        <v>187</v>
      </c>
      <c r="M122" s="34"/>
      <c r="N122" s="34"/>
      <c r="O122" s="35" t="s">
        <v>124</v>
      </c>
      <c r="P122" s="35"/>
      <c r="Q122" s="31">
        <f>26954.79</f>
        <v>26954.79</v>
      </c>
      <c r="R122" s="31"/>
      <c r="S122" s="31"/>
      <c r="T122" s="31">
        <f>6172.2</f>
        <v>6172.2</v>
      </c>
      <c r="U122" s="31"/>
      <c r="V122" s="31"/>
      <c r="W122" s="31"/>
      <c r="X122" s="31"/>
      <c r="Y122" s="32">
        <f>20782.59</f>
        <v>20782.59</v>
      </c>
      <c r="Z122" s="32"/>
    </row>
    <row r="123" spans="1:26" s="1" customFormat="1" ht="14.1" customHeight="1" x14ac:dyDescent="0.2">
      <c r="A123" s="33" t="s">
        <v>130</v>
      </c>
      <c r="B123" s="33"/>
      <c r="C123" s="33"/>
      <c r="D123" s="33"/>
      <c r="E123" s="33"/>
      <c r="F123" s="33"/>
      <c r="G123" s="33"/>
      <c r="H123" s="33"/>
      <c r="I123" s="34" t="s">
        <v>97</v>
      </c>
      <c r="J123" s="34"/>
      <c r="K123" s="34"/>
      <c r="L123" s="34" t="s">
        <v>187</v>
      </c>
      <c r="M123" s="34"/>
      <c r="N123" s="34"/>
      <c r="O123" s="35" t="s">
        <v>132</v>
      </c>
      <c r="P123" s="35"/>
      <c r="Q123" s="31">
        <f>27858.23</f>
        <v>27858.23</v>
      </c>
      <c r="R123" s="31"/>
      <c r="S123" s="31"/>
      <c r="T123" s="31">
        <f>3560.66</f>
        <v>3560.66</v>
      </c>
      <c r="U123" s="31"/>
      <c r="V123" s="31"/>
      <c r="W123" s="31"/>
      <c r="X123" s="31"/>
      <c r="Y123" s="32">
        <f>24297.57</f>
        <v>24297.57</v>
      </c>
      <c r="Z123" s="32"/>
    </row>
    <row r="124" spans="1:26" s="1" customFormat="1" ht="14.1" customHeight="1" x14ac:dyDescent="0.2">
      <c r="A124" s="33" t="s">
        <v>125</v>
      </c>
      <c r="B124" s="33"/>
      <c r="C124" s="33"/>
      <c r="D124" s="33"/>
      <c r="E124" s="33"/>
      <c r="F124" s="33"/>
      <c r="G124" s="33"/>
      <c r="H124" s="33"/>
      <c r="I124" s="34" t="s">
        <v>97</v>
      </c>
      <c r="J124" s="34"/>
      <c r="K124" s="34"/>
      <c r="L124" s="34" t="s">
        <v>187</v>
      </c>
      <c r="M124" s="34"/>
      <c r="N124" s="34"/>
      <c r="O124" s="35" t="s">
        <v>126</v>
      </c>
      <c r="P124" s="35"/>
      <c r="Q124" s="31">
        <f>92141.77</f>
        <v>92141.77</v>
      </c>
      <c r="R124" s="31"/>
      <c r="S124" s="31"/>
      <c r="T124" s="31">
        <f>9937.5</f>
        <v>9937.5</v>
      </c>
      <c r="U124" s="31"/>
      <c r="V124" s="31"/>
      <c r="W124" s="31"/>
      <c r="X124" s="31"/>
      <c r="Y124" s="32">
        <f>82204.27</f>
        <v>82204.27</v>
      </c>
      <c r="Z124" s="32"/>
    </row>
    <row r="125" spans="1:26" s="1" customFormat="1" ht="14.1" customHeight="1" x14ac:dyDescent="0.2">
      <c r="A125" s="33" t="s">
        <v>119</v>
      </c>
      <c r="B125" s="33"/>
      <c r="C125" s="33"/>
      <c r="D125" s="33"/>
      <c r="E125" s="33"/>
      <c r="F125" s="33"/>
      <c r="G125" s="33"/>
      <c r="H125" s="33"/>
      <c r="I125" s="34" t="s">
        <v>97</v>
      </c>
      <c r="J125" s="34"/>
      <c r="K125" s="34"/>
      <c r="L125" s="34" t="s">
        <v>187</v>
      </c>
      <c r="M125" s="34"/>
      <c r="N125" s="34"/>
      <c r="O125" s="35" t="s">
        <v>121</v>
      </c>
      <c r="P125" s="35"/>
      <c r="Q125" s="31">
        <f>1320045.21</f>
        <v>1320045.21</v>
      </c>
      <c r="R125" s="31"/>
      <c r="S125" s="31"/>
      <c r="T125" s="31">
        <f>229987.72</f>
        <v>229987.72</v>
      </c>
      <c r="U125" s="31"/>
      <c r="V125" s="31"/>
      <c r="W125" s="31"/>
      <c r="X125" s="31"/>
      <c r="Y125" s="32">
        <f>1090057.49</f>
        <v>1090057.49</v>
      </c>
      <c r="Z125" s="32"/>
    </row>
    <row r="126" spans="1:26" s="1" customFormat="1" ht="14.1" customHeight="1" x14ac:dyDescent="0.2">
      <c r="A126" s="33" t="s">
        <v>108</v>
      </c>
      <c r="B126" s="33"/>
      <c r="C126" s="33"/>
      <c r="D126" s="33"/>
      <c r="E126" s="33"/>
      <c r="F126" s="33"/>
      <c r="G126" s="33"/>
      <c r="H126" s="33"/>
      <c r="I126" s="34" t="s">
        <v>97</v>
      </c>
      <c r="J126" s="34"/>
      <c r="K126" s="34"/>
      <c r="L126" s="34" t="s">
        <v>187</v>
      </c>
      <c r="M126" s="34"/>
      <c r="N126" s="34"/>
      <c r="O126" s="35" t="s">
        <v>110</v>
      </c>
      <c r="P126" s="35"/>
      <c r="Q126" s="31">
        <f>50000</f>
        <v>50000</v>
      </c>
      <c r="R126" s="31"/>
      <c r="S126" s="31"/>
      <c r="T126" s="31">
        <f>8000</f>
        <v>8000</v>
      </c>
      <c r="U126" s="31"/>
      <c r="V126" s="31"/>
      <c r="W126" s="31"/>
      <c r="X126" s="31"/>
      <c r="Y126" s="32">
        <f>42000</f>
        <v>42000</v>
      </c>
      <c r="Z126" s="32"/>
    </row>
    <row r="127" spans="1:26" s="1" customFormat="1" ht="14.1" customHeight="1" x14ac:dyDescent="0.2">
      <c r="A127" s="33" t="s">
        <v>130</v>
      </c>
      <c r="B127" s="33"/>
      <c r="C127" s="33"/>
      <c r="D127" s="33"/>
      <c r="E127" s="33"/>
      <c r="F127" s="33"/>
      <c r="G127" s="33"/>
      <c r="H127" s="33"/>
      <c r="I127" s="34" t="s">
        <v>97</v>
      </c>
      <c r="J127" s="34"/>
      <c r="K127" s="34"/>
      <c r="L127" s="34" t="s">
        <v>188</v>
      </c>
      <c r="M127" s="34"/>
      <c r="N127" s="34"/>
      <c r="O127" s="35" t="s">
        <v>132</v>
      </c>
      <c r="P127" s="35"/>
      <c r="Q127" s="31">
        <f>1305000</f>
        <v>1305000</v>
      </c>
      <c r="R127" s="31"/>
      <c r="S127" s="31"/>
      <c r="T127" s="31">
        <f>247582.33</f>
        <v>247582.33</v>
      </c>
      <c r="U127" s="31"/>
      <c r="V127" s="31"/>
      <c r="W127" s="31"/>
      <c r="X127" s="31"/>
      <c r="Y127" s="32">
        <f>1057417.67</f>
        <v>1057417.67</v>
      </c>
      <c r="Z127" s="32"/>
    </row>
    <row r="128" spans="1:26" s="1" customFormat="1" ht="24" customHeight="1" x14ac:dyDescent="0.2">
      <c r="A128" s="33" t="s">
        <v>143</v>
      </c>
      <c r="B128" s="33"/>
      <c r="C128" s="33"/>
      <c r="D128" s="33"/>
      <c r="E128" s="33"/>
      <c r="F128" s="33"/>
      <c r="G128" s="33"/>
      <c r="H128" s="33"/>
      <c r="I128" s="34" t="s">
        <v>97</v>
      </c>
      <c r="J128" s="34"/>
      <c r="K128" s="34"/>
      <c r="L128" s="34" t="s">
        <v>189</v>
      </c>
      <c r="M128" s="34"/>
      <c r="N128" s="34"/>
      <c r="O128" s="35" t="s">
        <v>144</v>
      </c>
      <c r="P128" s="35"/>
      <c r="Q128" s="31">
        <f>5000</f>
        <v>5000</v>
      </c>
      <c r="R128" s="31"/>
      <c r="S128" s="31"/>
      <c r="T128" s="36" t="s">
        <v>45</v>
      </c>
      <c r="U128" s="36"/>
      <c r="V128" s="36"/>
      <c r="W128" s="36"/>
      <c r="X128" s="36"/>
      <c r="Y128" s="32">
        <f>5000</f>
        <v>5000</v>
      </c>
      <c r="Z128" s="32"/>
    </row>
    <row r="129" spans="1:26" s="1" customFormat="1" ht="14.1" customHeight="1" x14ac:dyDescent="0.2">
      <c r="A129" s="33" t="s">
        <v>119</v>
      </c>
      <c r="B129" s="33"/>
      <c r="C129" s="33"/>
      <c r="D129" s="33"/>
      <c r="E129" s="33"/>
      <c r="F129" s="33"/>
      <c r="G129" s="33"/>
      <c r="H129" s="33"/>
      <c r="I129" s="34" t="s">
        <v>97</v>
      </c>
      <c r="J129" s="34"/>
      <c r="K129" s="34"/>
      <c r="L129" s="34" t="s">
        <v>190</v>
      </c>
      <c r="M129" s="34"/>
      <c r="N129" s="34"/>
      <c r="O129" s="35" t="s">
        <v>121</v>
      </c>
      <c r="P129" s="35"/>
      <c r="Q129" s="31">
        <f>1000000</f>
        <v>1000000</v>
      </c>
      <c r="R129" s="31"/>
      <c r="S129" s="31"/>
      <c r="T129" s="36" t="s">
        <v>45</v>
      </c>
      <c r="U129" s="36"/>
      <c r="V129" s="36"/>
      <c r="W129" s="36"/>
      <c r="X129" s="36"/>
      <c r="Y129" s="32">
        <f>1000000</f>
        <v>1000000</v>
      </c>
      <c r="Z129" s="32"/>
    </row>
    <row r="130" spans="1:26" s="1" customFormat="1" ht="14.1" customHeight="1" x14ac:dyDescent="0.2">
      <c r="A130" s="33" t="s">
        <v>127</v>
      </c>
      <c r="B130" s="33"/>
      <c r="C130" s="33"/>
      <c r="D130" s="33"/>
      <c r="E130" s="33"/>
      <c r="F130" s="33"/>
      <c r="G130" s="33"/>
      <c r="H130" s="33"/>
      <c r="I130" s="34" t="s">
        <v>97</v>
      </c>
      <c r="J130" s="34"/>
      <c r="K130" s="34"/>
      <c r="L130" s="34" t="s">
        <v>190</v>
      </c>
      <c r="M130" s="34"/>
      <c r="N130" s="34"/>
      <c r="O130" s="35" t="s">
        <v>128</v>
      </c>
      <c r="P130" s="35"/>
      <c r="Q130" s="31">
        <f>195000</f>
        <v>195000</v>
      </c>
      <c r="R130" s="31"/>
      <c r="S130" s="31"/>
      <c r="T130" s="36" t="s">
        <v>45</v>
      </c>
      <c r="U130" s="36"/>
      <c r="V130" s="36"/>
      <c r="W130" s="36"/>
      <c r="X130" s="36"/>
      <c r="Y130" s="32">
        <f>195000</f>
        <v>195000</v>
      </c>
      <c r="Z130" s="32"/>
    </row>
    <row r="131" spans="1:26" s="1" customFormat="1" ht="14.1" customHeight="1" x14ac:dyDescent="0.2">
      <c r="A131" s="33" t="s">
        <v>119</v>
      </c>
      <c r="B131" s="33"/>
      <c r="C131" s="33"/>
      <c r="D131" s="33"/>
      <c r="E131" s="33"/>
      <c r="F131" s="33"/>
      <c r="G131" s="33"/>
      <c r="H131" s="33"/>
      <c r="I131" s="34" t="s">
        <v>97</v>
      </c>
      <c r="J131" s="34"/>
      <c r="K131" s="34"/>
      <c r="L131" s="34" t="s">
        <v>191</v>
      </c>
      <c r="M131" s="34"/>
      <c r="N131" s="34"/>
      <c r="O131" s="35" t="s">
        <v>121</v>
      </c>
      <c r="P131" s="35"/>
      <c r="Q131" s="31">
        <f>0</f>
        <v>0</v>
      </c>
      <c r="R131" s="31"/>
      <c r="S131" s="31"/>
      <c r="T131" s="36" t="s">
        <v>45</v>
      </c>
      <c r="U131" s="36"/>
      <c r="V131" s="36"/>
      <c r="W131" s="36"/>
      <c r="X131" s="36"/>
      <c r="Y131" s="37" t="s">
        <v>45</v>
      </c>
      <c r="Z131" s="37"/>
    </row>
    <row r="132" spans="1:26" s="1" customFormat="1" ht="14.1" customHeight="1" x14ac:dyDescent="0.2">
      <c r="A132" s="33" t="s">
        <v>98</v>
      </c>
      <c r="B132" s="33"/>
      <c r="C132" s="33"/>
      <c r="D132" s="33"/>
      <c r="E132" s="33"/>
      <c r="F132" s="33"/>
      <c r="G132" s="33"/>
      <c r="H132" s="33"/>
      <c r="I132" s="34" t="s">
        <v>97</v>
      </c>
      <c r="J132" s="34"/>
      <c r="K132" s="34"/>
      <c r="L132" s="34" t="s">
        <v>192</v>
      </c>
      <c r="M132" s="34"/>
      <c r="N132" s="34"/>
      <c r="O132" s="35" t="s">
        <v>100</v>
      </c>
      <c r="P132" s="35"/>
      <c r="Q132" s="31">
        <f>2970000</f>
        <v>2970000</v>
      </c>
      <c r="R132" s="31"/>
      <c r="S132" s="31"/>
      <c r="T132" s="31">
        <f>456784.6</f>
        <v>456784.6</v>
      </c>
      <c r="U132" s="31"/>
      <c r="V132" s="31"/>
      <c r="W132" s="31"/>
      <c r="X132" s="31"/>
      <c r="Y132" s="32">
        <f>2513215.4</f>
        <v>2513215.4</v>
      </c>
      <c r="Z132" s="32"/>
    </row>
    <row r="133" spans="1:26" s="1" customFormat="1" ht="14.1" customHeight="1" x14ac:dyDescent="0.2">
      <c r="A133" s="33" t="s">
        <v>105</v>
      </c>
      <c r="B133" s="33"/>
      <c r="C133" s="33"/>
      <c r="D133" s="33"/>
      <c r="E133" s="33"/>
      <c r="F133" s="33"/>
      <c r="G133" s="33"/>
      <c r="H133" s="33"/>
      <c r="I133" s="34" t="s">
        <v>97</v>
      </c>
      <c r="J133" s="34"/>
      <c r="K133" s="34"/>
      <c r="L133" s="34" t="s">
        <v>192</v>
      </c>
      <c r="M133" s="34"/>
      <c r="N133" s="34"/>
      <c r="O133" s="35" t="s">
        <v>106</v>
      </c>
      <c r="P133" s="35"/>
      <c r="Q133" s="31">
        <f>30000</f>
        <v>30000</v>
      </c>
      <c r="R133" s="31"/>
      <c r="S133" s="31"/>
      <c r="T133" s="31">
        <f>4742.97</f>
        <v>4742.97</v>
      </c>
      <c r="U133" s="31"/>
      <c r="V133" s="31"/>
      <c r="W133" s="31"/>
      <c r="X133" s="31"/>
      <c r="Y133" s="32">
        <f>25257.03</f>
        <v>25257.03</v>
      </c>
      <c r="Z133" s="32"/>
    </row>
    <row r="134" spans="1:26" s="1" customFormat="1" ht="14.1" customHeight="1" x14ac:dyDescent="0.2">
      <c r="A134" s="33" t="s">
        <v>183</v>
      </c>
      <c r="B134" s="33"/>
      <c r="C134" s="33"/>
      <c r="D134" s="33"/>
      <c r="E134" s="33"/>
      <c r="F134" s="33"/>
      <c r="G134" s="33"/>
      <c r="H134" s="33"/>
      <c r="I134" s="34" t="s">
        <v>97</v>
      </c>
      <c r="J134" s="34"/>
      <c r="K134" s="34"/>
      <c r="L134" s="34" t="s">
        <v>193</v>
      </c>
      <c r="M134" s="34"/>
      <c r="N134" s="34"/>
      <c r="O134" s="35" t="s">
        <v>185</v>
      </c>
      <c r="P134" s="35"/>
      <c r="Q134" s="31">
        <f>21000</f>
        <v>21000</v>
      </c>
      <c r="R134" s="31"/>
      <c r="S134" s="31"/>
      <c r="T134" s="31">
        <f>11671.38</f>
        <v>11671.38</v>
      </c>
      <c r="U134" s="31"/>
      <c r="V134" s="31"/>
      <c r="W134" s="31"/>
      <c r="X134" s="31"/>
      <c r="Y134" s="32">
        <f>9328.62</f>
        <v>9328.6200000000008</v>
      </c>
      <c r="Z134" s="32"/>
    </row>
    <row r="135" spans="1:26" s="1" customFormat="1" ht="14.1" customHeight="1" x14ac:dyDescent="0.2">
      <c r="A135" s="33" t="s">
        <v>101</v>
      </c>
      <c r="B135" s="33"/>
      <c r="C135" s="33"/>
      <c r="D135" s="33"/>
      <c r="E135" s="33"/>
      <c r="F135" s="33"/>
      <c r="G135" s="33"/>
      <c r="H135" s="33"/>
      <c r="I135" s="34" t="s">
        <v>97</v>
      </c>
      <c r="J135" s="34"/>
      <c r="K135" s="34"/>
      <c r="L135" s="34" t="s">
        <v>194</v>
      </c>
      <c r="M135" s="34"/>
      <c r="N135" s="34"/>
      <c r="O135" s="35" t="s">
        <v>103</v>
      </c>
      <c r="P135" s="35"/>
      <c r="Q135" s="31">
        <f>934000</f>
        <v>934000</v>
      </c>
      <c r="R135" s="31"/>
      <c r="S135" s="31"/>
      <c r="T135" s="31">
        <f>121178.84</f>
        <v>121178.84</v>
      </c>
      <c r="U135" s="31"/>
      <c r="V135" s="31"/>
      <c r="W135" s="31"/>
      <c r="X135" s="31"/>
      <c r="Y135" s="32">
        <f>812821.16</f>
        <v>812821.16</v>
      </c>
      <c r="Z135" s="32"/>
    </row>
    <row r="136" spans="1:26" s="1" customFormat="1" ht="14.1" customHeight="1" x14ac:dyDescent="0.2">
      <c r="A136" s="33" t="s">
        <v>122</v>
      </c>
      <c r="B136" s="33"/>
      <c r="C136" s="33"/>
      <c r="D136" s="33"/>
      <c r="E136" s="33"/>
      <c r="F136" s="33"/>
      <c r="G136" s="33"/>
      <c r="H136" s="33"/>
      <c r="I136" s="34" t="s">
        <v>97</v>
      </c>
      <c r="J136" s="34"/>
      <c r="K136" s="34"/>
      <c r="L136" s="34" t="s">
        <v>195</v>
      </c>
      <c r="M136" s="34"/>
      <c r="N136" s="34"/>
      <c r="O136" s="35" t="s">
        <v>124</v>
      </c>
      <c r="P136" s="35"/>
      <c r="Q136" s="31">
        <f>70595.29</f>
        <v>70595.289999999994</v>
      </c>
      <c r="R136" s="31"/>
      <c r="S136" s="31"/>
      <c r="T136" s="31">
        <f>12458.4</f>
        <v>12458.4</v>
      </c>
      <c r="U136" s="31"/>
      <c r="V136" s="31"/>
      <c r="W136" s="31"/>
      <c r="X136" s="31"/>
      <c r="Y136" s="32">
        <f>58136.89</f>
        <v>58136.89</v>
      </c>
      <c r="Z136" s="32"/>
    </row>
    <row r="137" spans="1:26" s="1" customFormat="1" ht="14.1" customHeight="1" x14ac:dyDescent="0.2">
      <c r="A137" s="33" t="s">
        <v>130</v>
      </c>
      <c r="B137" s="33"/>
      <c r="C137" s="33"/>
      <c r="D137" s="33"/>
      <c r="E137" s="33"/>
      <c r="F137" s="33"/>
      <c r="G137" s="33"/>
      <c r="H137" s="33"/>
      <c r="I137" s="34" t="s">
        <v>97</v>
      </c>
      <c r="J137" s="34"/>
      <c r="K137" s="34"/>
      <c r="L137" s="34" t="s">
        <v>195</v>
      </c>
      <c r="M137" s="34"/>
      <c r="N137" s="34"/>
      <c r="O137" s="35" t="s">
        <v>132</v>
      </c>
      <c r="P137" s="35"/>
      <c r="Q137" s="31">
        <f>5401.62</f>
        <v>5401.62</v>
      </c>
      <c r="R137" s="31"/>
      <c r="S137" s="31"/>
      <c r="T137" s="31">
        <f>869.08</f>
        <v>869.08</v>
      </c>
      <c r="U137" s="31"/>
      <c r="V137" s="31"/>
      <c r="W137" s="31"/>
      <c r="X137" s="31"/>
      <c r="Y137" s="32">
        <f>4532.54</f>
        <v>4532.54</v>
      </c>
      <c r="Z137" s="32"/>
    </row>
    <row r="138" spans="1:26" s="1" customFormat="1" ht="14.1" customHeight="1" x14ac:dyDescent="0.2">
      <c r="A138" s="33" t="s">
        <v>125</v>
      </c>
      <c r="B138" s="33"/>
      <c r="C138" s="33"/>
      <c r="D138" s="33"/>
      <c r="E138" s="33"/>
      <c r="F138" s="33"/>
      <c r="G138" s="33"/>
      <c r="H138" s="33"/>
      <c r="I138" s="34" t="s">
        <v>97</v>
      </c>
      <c r="J138" s="34"/>
      <c r="K138" s="34"/>
      <c r="L138" s="34" t="s">
        <v>195</v>
      </c>
      <c r="M138" s="34"/>
      <c r="N138" s="34"/>
      <c r="O138" s="35" t="s">
        <v>126</v>
      </c>
      <c r="P138" s="35"/>
      <c r="Q138" s="31">
        <f>1500</f>
        <v>1500</v>
      </c>
      <c r="R138" s="31"/>
      <c r="S138" s="31"/>
      <c r="T138" s="36" t="s">
        <v>45</v>
      </c>
      <c r="U138" s="36"/>
      <c r="V138" s="36"/>
      <c r="W138" s="36"/>
      <c r="X138" s="36"/>
      <c r="Y138" s="32">
        <f>1500</f>
        <v>1500</v>
      </c>
      <c r="Z138" s="32"/>
    </row>
    <row r="139" spans="1:26" s="1" customFormat="1" ht="14.1" customHeight="1" x14ac:dyDescent="0.2">
      <c r="A139" s="33" t="s">
        <v>119</v>
      </c>
      <c r="B139" s="33"/>
      <c r="C139" s="33"/>
      <c r="D139" s="33"/>
      <c r="E139" s="33"/>
      <c r="F139" s="33"/>
      <c r="G139" s="33"/>
      <c r="H139" s="33"/>
      <c r="I139" s="34" t="s">
        <v>97</v>
      </c>
      <c r="J139" s="34"/>
      <c r="K139" s="34"/>
      <c r="L139" s="34" t="s">
        <v>195</v>
      </c>
      <c r="M139" s="34"/>
      <c r="N139" s="34"/>
      <c r="O139" s="35" t="s">
        <v>121</v>
      </c>
      <c r="P139" s="35"/>
      <c r="Q139" s="31">
        <f>107503.09</f>
        <v>107503.09</v>
      </c>
      <c r="R139" s="31"/>
      <c r="S139" s="31"/>
      <c r="T139" s="36" t="s">
        <v>45</v>
      </c>
      <c r="U139" s="36"/>
      <c r="V139" s="36"/>
      <c r="W139" s="36"/>
      <c r="X139" s="36"/>
      <c r="Y139" s="32">
        <f>107503.09</f>
        <v>107503.09</v>
      </c>
      <c r="Z139" s="32"/>
    </row>
    <row r="140" spans="1:26" s="1" customFormat="1" ht="14.1" customHeight="1" x14ac:dyDescent="0.2">
      <c r="A140" s="33" t="s">
        <v>108</v>
      </c>
      <c r="B140" s="33"/>
      <c r="C140" s="33"/>
      <c r="D140" s="33"/>
      <c r="E140" s="33"/>
      <c r="F140" s="33"/>
      <c r="G140" s="33"/>
      <c r="H140" s="33"/>
      <c r="I140" s="34" t="s">
        <v>97</v>
      </c>
      <c r="J140" s="34"/>
      <c r="K140" s="34"/>
      <c r="L140" s="34" t="s">
        <v>195</v>
      </c>
      <c r="M140" s="34"/>
      <c r="N140" s="34"/>
      <c r="O140" s="35" t="s">
        <v>110</v>
      </c>
      <c r="P140" s="35"/>
      <c r="Q140" s="31">
        <f>10000</f>
        <v>10000</v>
      </c>
      <c r="R140" s="31"/>
      <c r="S140" s="31"/>
      <c r="T140" s="31">
        <f>6503.38</f>
        <v>6503.38</v>
      </c>
      <c r="U140" s="31"/>
      <c r="V140" s="31"/>
      <c r="W140" s="31"/>
      <c r="X140" s="31"/>
      <c r="Y140" s="32">
        <f>3496.62</f>
        <v>3496.62</v>
      </c>
      <c r="Z140" s="32"/>
    </row>
    <row r="141" spans="1:26" s="1" customFormat="1" ht="24" customHeight="1" x14ac:dyDescent="0.2">
      <c r="A141" s="33" t="s">
        <v>140</v>
      </c>
      <c r="B141" s="33"/>
      <c r="C141" s="33"/>
      <c r="D141" s="33"/>
      <c r="E141" s="33"/>
      <c r="F141" s="33"/>
      <c r="G141" s="33"/>
      <c r="H141" s="33"/>
      <c r="I141" s="34" t="s">
        <v>97</v>
      </c>
      <c r="J141" s="34"/>
      <c r="K141" s="34"/>
      <c r="L141" s="34" t="s">
        <v>196</v>
      </c>
      <c r="M141" s="34"/>
      <c r="N141" s="34"/>
      <c r="O141" s="35" t="s">
        <v>142</v>
      </c>
      <c r="P141" s="35"/>
      <c r="Q141" s="31">
        <f>5000</f>
        <v>5000</v>
      </c>
      <c r="R141" s="31"/>
      <c r="S141" s="31"/>
      <c r="T141" s="36" t="s">
        <v>45</v>
      </c>
      <c r="U141" s="36"/>
      <c r="V141" s="36"/>
      <c r="W141" s="36"/>
      <c r="X141" s="36"/>
      <c r="Y141" s="32">
        <f>5000</f>
        <v>5000</v>
      </c>
      <c r="Z141" s="32"/>
    </row>
    <row r="142" spans="1:26" s="1" customFormat="1" ht="14.1" customHeight="1" x14ac:dyDescent="0.2">
      <c r="A142" s="33" t="s">
        <v>127</v>
      </c>
      <c r="B142" s="33"/>
      <c r="C142" s="33"/>
      <c r="D142" s="33"/>
      <c r="E142" s="33"/>
      <c r="F142" s="33"/>
      <c r="G142" s="33"/>
      <c r="H142" s="33"/>
      <c r="I142" s="34" t="s">
        <v>97</v>
      </c>
      <c r="J142" s="34"/>
      <c r="K142" s="34"/>
      <c r="L142" s="34" t="s">
        <v>197</v>
      </c>
      <c r="M142" s="34"/>
      <c r="N142" s="34"/>
      <c r="O142" s="35" t="s">
        <v>128</v>
      </c>
      <c r="P142" s="35"/>
      <c r="Q142" s="31">
        <f>300000</f>
        <v>300000</v>
      </c>
      <c r="R142" s="31"/>
      <c r="S142" s="31"/>
      <c r="T142" s="31">
        <f>4690</f>
        <v>4690</v>
      </c>
      <c r="U142" s="31"/>
      <c r="V142" s="31"/>
      <c r="W142" s="31"/>
      <c r="X142" s="31"/>
      <c r="Y142" s="32">
        <f>295310</f>
        <v>295310</v>
      </c>
      <c r="Z142" s="32"/>
    </row>
    <row r="143" spans="1:26" s="1" customFormat="1" ht="14.1" customHeight="1" x14ac:dyDescent="0.2">
      <c r="A143" s="33" t="s">
        <v>119</v>
      </c>
      <c r="B143" s="33"/>
      <c r="C143" s="33"/>
      <c r="D143" s="33"/>
      <c r="E143" s="33"/>
      <c r="F143" s="33"/>
      <c r="G143" s="33"/>
      <c r="H143" s="33"/>
      <c r="I143" s="34" t="s">
        <v>97</v>
      </c>
      <c r="J143" s="34"/>
      <c r="K143" s="34"/>
      <c r="L143" s="34" t="s">
        <v>198</v>
      </c>
      <c r="M143" s="34"/>
      <c r="N143" s="34"/>
      <c r="O143" s="35" t="s">
        <v>121</v>
      </c>
      <c r="P143" s="35"/>
      <c r="Q143" s="31">
        <f>6000</f>
        <v>6000</v>
      </c>
      <c r="R143" s="31"/>
      <c r="S143" s="31"/>
      <c r="T143" s="31">
        <f>6000</f>
        <v>6000</v>
      </c>
      <c r="U143" s="31"/>
      <c r="V143" s="31"/>
      <c r="W143" s="31"/>
      <c r="X143" s="31"/>
      <c r="Y143" s="32">
        <f>0</f>
        <v>0</v>
      </c>
      <c r="Z143" s="32"/>
    </row>
    <row r="144" spans="1:26" s="1" customFormat="1" ht="24" customHeight="1" x14ac:dyDescent="0.2">
      <c r="A144" s="33" t="s">
        <v>146</v>
      </c>
      <c r="B144" s="33"/>
      <c r="C144" s="33"/>
      <c r="D144" s="33"/>
      <c r="E144" s="33"/>
      <c r="F144" s="33"/>
      <c r="G144" s="33"/>
      <c r="H144" s="33"/>
      <c r="I144" s="34" t="s">
        <v>97</v>
      </c>
      <c r="J144" s="34"/>
      <c r="K144" s="34"/>
      <c r="L144" s="34" t="s">
        <v>198</v>
      </c>
      <c r="M144" s="34"/>
      <c r="N144" s="34"/>
      <c r="O144" s="35" t="s">
        <v>148</v>
      </c>
      <c r="P144" s="35"/>
      <c r="Q144" s="31">
        <f>194000</f>
        <v>194000</v>
      </c>
      <c r="R144" s="31"/>
      <c r="S144" s="31"/>
      <c r="T144" s="31">
        <f>5646</f>
        <v>5646</v>
      </c>
      <c r="U144" s="31"/>
      <c r="V144" s="31"/>
      <c r="W144" s="31"/>
      <c r="X144" s="31"/>
      <c r="Y144" s="32">
        <f>188354</f>
        <v>188354</v>
      </c>
      <c r="Z144" s="32"/>
    </row>
    <row r="145" spans="1:26" s="1" customFormat="1" ht="24" customHeight="1" x14ac:dyDescent="0.2">
      <c r="A145" s="33" t="s">
        <v>199</v>
      </c>
      <c r="B145" s="33"/>
      <c r="C145" s="33"/>
      <c r="D145" s="33"/>
      <c r="E145" s="33"/>
      <c r="F145" s="33"/>
      <c r="G145" s="33"/>
      <c r="H145" s="33"/>
      <c r="I145" s="34" t="s">
        <v>97</v>
      </c>
      <c r="J145" s="34"/>
      <c r="K145" s="34"/>
      <c r="L145" s="34" t="s">
        <v>200</v>
      </c>
      <c r="M145" s="34"/>
      <c r="N145" s="34"/>
      <c r="O145" s="35" t="s">
        <v>201</v>
      </c>
      <c r="P145" s="35"/>
      <c r="Q145" s="31">
        <f>400000</f>
        <v>400000</v>
      </c>
      <c r="R145" s="31"/>
      <c r="S145" s="31"/>
      <c r="T145" s="31">
        <f>90517.41</f>
        <v>90517.41</v>
      </c>
      <c r="U145" s="31"/>
      <c r="V145" s="31"/>
      <c r="W145" s="31"/>
      <c r="X145" s="31"/>
      <c r="Y145" s="32">
        <f>309482.59</f>
        <v>309482.59000000003</v>
      </c>
      <c r="Z145" s="32"/>
    </row>
    <row r="146" spans="1:26" s="1" customFormat="1" ht="14.1" customHeight="1" x14ac:dyDescent="0.2">
      <c r="A146" s="33" t="s">
        <v>119</v>
      </c>
      <c r="B146" s="33"/>
      <c r="C146" s="33"/>
      <c r="D146" s="33"/>
      <c r="E146" s="33"/>
      <c r="F146" s="33"/>
      <c r="G146" s="33"/>
      <c r="H146" s="33"/>
      <c r="I146" s="34" t="s">
        <v>97</v>
      </c>
      <c r="J146" s="34"/>
      <c r="K146" s="34"/>
      <c r="L146" s="34" t="s">
        <v>202</v>
      </c>
      <c r="M146" s="34"/>
      <c r="N146" s="34"/>
      <c r="O146" s="35" t="s">
        <v>121</v>
      </c>
      <c r="P146" s="35"/>
      <c r="Q146" s="31">
        <f>300000</f>
        <v>300000</v>
      </c>
      <c r="R146" s="31"/>
      <c r="S146" s="31"/>
      <c r="T146" s="36" t="s">
        <v>45</v>
      </c>
      <c r="U146" s="36"/>
      <c r="V146" s="36"/>
      <c r="W146" s="36"/>
      <c r="X146" s="36"/>
      <c r="Y146" s="32">
        <f>300000</f>
        <v>300000</v>
      </c>
      <c r="Z146" s="32"/>
    </row>
    <row r="147" spans="1:26" s="1" customFormat="1" ht="14.1" customHeight="1" x14ac:dyDescent="0.2">
      <c r="A147" s="33" t="s">
        <v>108</v>
      </c>
      <c r="B147" s="33"/>
      <c r="C147" s="33"/>
      <c r="D147" s="33"/>
      <c r="E147" s="33"/>
      <c r="F147" s="33"/>
      <c r="G147" s="33"/>
      <c r="H147" s="33"/>
      <c r="I147" s="34" t="s">
        <v>97</v>
      </c>
      <c r="J147" s="34"/>
      <c r="K147" s="34"/>
      <c r="L147" s="34" t="s">
        <v>203</v>
      </c>
      <c r="M147" s="34"/>
      <c r="N147" s="34"/>
      <c r="O147" s="35" t="s">
        <v>110</v>
      </c>
      <c r="P147" s="35"/>
      <c r="Q147" s="31">
        <f>200000</f>
        <v>200000</v>
      </c>
      <c r="R147" s="31"/>
      <c r="S147" s="31"/>
      <c r="T147" s="36" t="s">
        <v>45</v>
      </c>
      <c r="U147" s="36"/>
      <c r="V147" s="36"/>
      <c r="W147" s="36"/>
      <c r="X147" s="36"/>
      <c r="Y147" s="32">
        <f>200000</f>
        <v>200000</v>
      </c>
      <c r="Z147" s="32"/>
    </row>
    <row r="148" spans="1:26" s="1" customFormat="1" ht="15" customHeight="1" x14ac:dyDescent="0.2">
      <c r="A148" s="38" t="s">
        <v>204</v>
      </c>
      <c r="B148" s="38"/>
      <c r="C148" s="38"/>
      <c r="D148" s="38"/>
      <c r="E148" s="38"/>
      <c r="F148" s="38"/>
      <c r="G148" s="38"/>
      <c r="H148" s="38"/>
      <c r="I148" s="39" t="s">
        <v>205</v>
      </c>
      <c r="J148" s="39"/>
      <c r="K148" s="39"/>
      <c r="L148" s="39" t="s">
        <v>36</v>
      </c>
      <c r="M148" s="39"/>
      <c r="N148" s="39"/>
      <c r="O148" s="40" t="s">
        <v>36</v>
      </c>
      <c r="P148" s="40"/>
      <c r="Q148" s="41">
        <f>-46774595.66</f>
        <v>-46774595.659999996</v>
      </c>
      <c r="R148" s="41"/>
      <c r="S148" s="41"/>
      <c r="T148" s="41">
        <f>7170779.58</f>
        <v>7170779.5800000001</v>
      </c>
      <c r="U148" s="41"/>
      <c r="V148" s="41"/>
      <c r="W148" s="41"/>
      <c r="X148" s="41"/>
      <c r="Y148" s="42" t="s">
        <v>36</v>
      </c>
      <c r="Z148" s="42"/>
    </row>
    <row r="149" spans="1:26" s="1" customFormat="1" ht="14.1" customHeight="1" x14ac:dyDescent="0.2">
      <c r="A149" s="10" t="s">
        <v>10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s="1" customFormat="1" ht="14.1" customHeight="1" x14ac:dyDescent="0.2">
      <c r="A150" s="12" t="s">
        <v>206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s="1" customFormat="1" ht="45.95" customHeight="1" x14ac:dyDescent="0.2">
      <c r="A151" s="13" t="s">
        <v>22</v>
      </c>
      <c r="B151" s="13"/>
      <c r="C151" s="13"/>
      <c r="D151" s="13"/>
      <c r="E151" s="13"/>
      <c r="F151" s="13"/>
      <c r="G151" s="13"/>
      <c r="H151" s="13"/>
      <c r="I151" s="13"/>
      <c r="J151" s="13" t="s">
        <v>23</v>
      </c>
      <c r="K151" s="13"/>
      <c r="L151" s="13"/>
      <c r="M151" s="13" t="s">
        <v>207</v>
      </c>
      <c r="N151" s="13"/>
      <c r="O151" s="13"/>
      <c r="P151" s="14" t="s">
        <v>25</v>
      </c>
      <c r="Q151" s="14"/>
      <c r="R151" s="14"/>
      <c r="S151" s="14" t="s">
        <v>26</v>
      </c>
      <c r="T151" s="14"/>
      <c r="U151" s="14"/>
      <c r="V151" s="14"/>
      <c r="W151" s="14"/>
      <c r="X151" s="15" t="s">
        <v>27</v>
      </c>
      <c r="Y151" s="15"/>
      <c r="Z151" s="15"/>
    </row>
    <row r="152" spans="1:26" s="1" customFormat="1" ht="12.95" customHeight="1" x14ac:dyDescent="0.2">
      <c r="A152" s="16" t="s">
        <v>28</v>
      </c>
      <c r="B152" s="16"/>
      <c r="C152" s="16"/>
      <c r="D152" s="16"/>
      <c r="E152" s="16"/>
      <c r="F152" s="16"/>
      <c r="G152" s="16"/>
      <c r="H152" s="16"/>
      <c r="I152" s="16"/>
      <c r="J152" s="16" t="s">
        <v>29</v>
      </c>
      <c r="K152" s="16"/>
      <c r="L152" s="16"/>
      <c r="M152" s="16" t="s">
        <v>30</v>
      </c>
      <c r="N152" s="16"/>
      <c r="O152" s="16"/>
      <c r="P152" s="17" t="s">
        <v>31</v>
      </c>
      <c r="Q152" s="17"/>
      <c r="R152" s="17"/>
      <c r="S152" s="17" t="s">
        <v>32</v>
      </c>
      <c r="T152" s="17"/>
      <c r="U152" s="17"/>
      <c r="V152" s="17"/>
      <c r="W152" s="17"/>
      <c r="X152" s="18" t="s">
        <v>33</v>
      </c>
      <c r="Y152" s="18"/>
      <c r="Z152" s="18"/>
    </row>
    <row r="153" spans="1:26" s="1" customFormat="1" ht="14.1" customHeight="1" x14ac:dyDescent="0.2">
      <c r="A153" s="19" t="s">
        <v>208</v>
      </c>
      <c r="B153" s="19"/>
      <c r="C153" s="19"/>
      <c r="D153" s="19"/>
      <c r="E153" s="19"/>
      <c r="F153" s="19"/>
      <c r="G153" s="19"/>
      <c r="H153" s="19"/>
      <c r="I153" s="19"/>
      <c r="J153" s="20" t="s">
        <v>209</v>
      </c>
      <c r="K153" s="20"/>
      <c r="L153" s="20"/>
      <c r="M153" s="20" t="s">
        <v>36</v>
      </c>
      <c r="N153" s="20"/>
      <c r="O153" s="20"/>
      <c r="P153" s="43">
        <f>46774595.66</f>
        <v>46774595.659999996</v>
      </c>
      <c r="Q153" s="43"/>
      <c r="R153" s="43"/>
      <c r="S153" s="21">
        <f>-7170779.58</f>
        <v>-7170779.5800000001</v>
      </c>
      <c r="T153" s="21"/>
      <c r="U153" s="21"/>
      <c r="V153" s="21"/>
      <c r="W153" s="21"/>
      <c r="X153" s="44" t="s">
        <v>36</v>
      </c>
      <c r="Y153" s="44"/>
      <c r="Z153" s="44"/>
    </row>
    <row r="154" spans="1:26" s="1" customFormat="1" ht="14.1" customHeight="1" x14ac:dyDescent="0.2">
      <c r="A154" s="45" t="s">
        <v>210</v>
      </c>
      <c r="B154" s="45"/>
      <c r="C154" s="45"/>
      <c r="D154" s="45"/>
      <c r="E154" s="45"/>
      <c r="F154" s="45"/>
      <c r="G154" s="45"/>
      <c r="H154" s="45"/>
      <c r="I154" s="45"/>
      <c r="J154" s="46" t="s">
        <v>10</v>
      </c>
      <c r="K154" s="46"/>
      <c r="L154" s="46"/>
      <c r="M154" s="46" t="s">
        <v>10</v>
      </c>
      <c r="N154" s="46"/>
      <c r="O154" s="46"/>
      <c r="P154" s="47" t="s">
        <v>10</v>
      </c>
      <c r="Q154" s="47"/>
      <c r="R154" s="47"/>
      <c r="S154" s="48" t="s">
        <v>10</v>
      </c>
      <c r="T154" s="48"/>
      <c r="U154" s="48"/>
      <c r="V154" s="48"/>
      <c r="W154" s="48"/>
      <c r="X154" s="49" t="s">
        <v>10</v>
      </c>
      <c r="Y154" s="49"/>
      <c r="Z154" s="49"/>
    </row>
    <row r="155" spans="1:26" s="1" customFormat="1" ht="14.1" customHeight="1" x14ac:dyDescent="0.2">
      <c r="A155" s="23" t="s">
        <v>211</v>
      </c>
      <c r="B155" s="23"/>
      <c r="C155" s="23"/>
      <c r="D155" s="23"/>
      <c r="E155" s="23"/>
      <c r="F155" s="23"/>
      <c r="G155" s="23"/>
      <c r="H155" s="23"/>
      <c r="I155" s="23"/>
      <c r="J155" s="50" t="s">
        <v>212</v>
      </c>
      <c r="K155" s="50"/>
      <c r="L155" s="50"/>
      <c r="M155" s="24" t="s">
        <v>36</v>
      </c>
      <c r="N155" s="24"/>
      <c r="O155" s="24"/>
      <c r="P155" s="51" t="s">
        <v>45</v>
      </c>
      <c r="Q155" s="51"/>
      <c r="R155" s="51"/>
      <c r="S155" s="28" t="s">
        <v>45</v>
      </c>
      <c r="T155" s="28"/>
      <c r="U155" s="28"/>
      <c r="V155" s="28"/>
      <c r="W155" s="28"/>
      <c r="X155" s="52" t="s">
        <v>45</v>
      </c>
      <c r="Y155" s="52"/>
      <c r="Z155" s="52"/>
    </row>
    <row r="156" spans="1:26" s="1" customFormat="1" ht="14.1" customHeight="1" x14ac:dyDescent="0.2">
      <c r="A156" s="33" t="s">
        <v>10</v>
      </c>
      <c r="B156" s="33"/>
      <c r="C156" s="33"/>
      <c r="D156" s="33"/>
      <c r="E156" s="33"/>
      <c r="F156" s="33"/>
      <c r="G156" s="33"/>
      <c r="H156" s="33"/>
      <c r="I156" s="33"/>
      <c r="J156" s="34" t="s">
        <v>212</v>
      </c>
      <c r="K156" s="34"/>
      <c r="L156" s="34"/>
      <c r="M156" s="34" t="s">
        <v>10</v>
      </c>
      <c r="N156" s="34"/>
      <c r="O156" s="34"/>
      <c r="P156" s="53" t="s">
        <v>45</v>
      </c>
      <c r="Q156" s="53"/>
      <c r="R156" s="53"/>
      <c r="S156" s="36" t="s">
        <v>45</v>
      </c>
      <c r="T156" s="36"/>
      <c r="U156" s="36"/>
      <c r="V156" s="36"/>
      <c r="W156" s="36"/>
      <c r="X156" s="54" t="s">
        <v>45</v>
      </c>
      <c r="Y156" s="54"/>
      <c r="Z156" s="54"/>
    </row>
    <row r="157" spans="1:26" s="1" customFormat="1" ht="14.1" customHeight="1" x14ac:dyDescent="0.2">
      <c r="A157" s="33" t="s">
        <v>213</v>
      </c>
      <c r="B157" s="33"/>
      <c r="C157" s="33"/>
      <c r="D157" s="33"/>
      <c r="E157" s="33"/>
      <c r="F157" s="33"/>
      <c r="G157" s="33"/>
      <c r="H157" s="33"/>
      <c r="I157" s="33"/>
      <c r="J157" s="46" t="s">
        <v>214</v>
      </c>
      <c r="K157" s="46"/>
      <c r="L157" s="46"/>
      <c r="M157" s="46" t="s">
        <v>36</v>
      </c>
      <c r="N157" s="46"/>
      <c r="O157" s="46"/>
      <c r="P157" s="47" t="s">
        <v>45</v>
      </c>
      <c r="Q157" s="47"/>
      <c r="R157" s="47"/>
      <c r="S157" s="36" t="s">
        <v>45</v>
      </c>
      <c r="T157" s="36"/>
      <c r="U157" s="36"/>
      <c r="V157" s="36"/>
      <c r="W157" s="36"/>
      <c r="X157" s="49" t="s">
        <v>45</v>
      </c>
      <c r="Y157" s="49"/>
      <c r="Z157" s="49"/>
    </row>
    <row r="158" spans="1:26" s="1" customFormat="1" ht="14.1" customHeight="1" x14ac:dyDescent="0.2">
      <c r="A158" s="33" t="s">
        <v>10</v>
      </c>
      <c r="B158" s="33"/>
      <c r="C158" s="33"/>
      <c r="D158" s="33"/>
      <c r="E158" s="33"/>
      <c r="F158" s="33"/>
      <c r="G158" s="33"/>
      <c r="H158" s="33"/>
      <c r="I158" s="33"/>
      <c r="J158" s="34" t="s">
        <v>214</v>
      </c>
      <c r="K158" s="34"/>
      <c r="L158" s="34"/>
      <c r="M158" s="34" t="s">
        <v>10</v>
      </c>
      <c r="N158" s="34"/>
      <c r="O158" s="34"/>
      <c r="P158" s="53" t="s">
        <v>45</v>
      </c>
      <c r="Q158" s="53"/>
      <c r="R158" s="53"/>
      <c r="S158" s="36" t="s">
        <v>45</v>
      </c>
      <c r="T158" s="36"/>
      <c r="U158" s="36"/>
      <c r="V158" s="36"/>
      <c r="W158" s="36"/>
      <c r="X158" s="54" t="s">
        <v>45</v>
      </c>
      <c r="Y158" s="54"/>
      <c r="Z158" s="54"/>
    </row>
    <row r="159" spans="1:26" s="1" customFormat="1" ht="14.1" customHeight="1" x14ac:dyDescent="0.2">
      <c r="A159" s="33" t="s">
        <v>215</v>
      </c>
      <c r="B159" s="33"/>
      <c r="C159" s="33"/>
      <c r="D159" s="33"/>
      <c r="E159" s="33"/>
      <c r="F159" s="33"/>
      <c r="G159" s="33"/>
      <c r="H159" s="33"/>
      <c r="I159" s="33"/>
      <c r="J159" s="34" t="s">
        <v>216</v>
      </c>
      <c r="K159" s="34"/>
      <c r="L159" s="34"/>
      <c r="M159" s="34" t="s">
        <v>217</v>
      </c>
      <c r="N159" s="34"/>
      <c r="O159" s="34"/>
      <c r="P159" s="55">
        <f>46774595.66</f>
        <v>46774595.659999996</v>
      </c>
      <c r="Q159" s="55"/>
      <c r="R159" s="55"/>
      <c r="S159" s="31">
        <f>-7170779.58</f>
        <v>-7170779.5800000001</v>
      </c>
      <c r="T159" s="31"/>
      <c r="U159" s="31"/>
      <c r="V159" s="31"/>
      <c r="W159" s="31"/>
      <c r="X159" s="56">
        <f>53945375.24</f>
        <v>53945375.240000002</v>
      </c>
      <c r="Y159" s="56"/>
      <c r="Z159" s="56"/>
    </row>
    <row r="160" spans="1:26" s="1" customFormat="1" ht="14.1" customHeight="1" x14ac:dyDescent="0.2">
      <c r="A160" s="33" t="s">
        <v>218</v>
      </c>
      <c r="B160" s="33"/>
      <c r="C160" s="33"/>
      <c r="D160" s="33"/>
      <c r="E160" s="33"/>
      <c r="F160" s="33"/>
      <c r="G160" s="33"/>
      <c r="H160" s="33"/>
      <c r="I160" s="33"/>
      <c r="J160" s="34" t="s">
        <v>219</v>
      </c>
      <c r="K160" s="34"/>
      <c r="L160" s="34"/>
      <c r="M160" s="34" t="s">
        <v>220</v>
      </c>
      <c r="N160" s="34"/>
      <c r="O160" s="34"/>
      <c r="P160" s="55">
        <f>-200388429.5</f>
        <v>-200388429.5</v>
      </c>
      <c r="Q160" s="55"/>
      <c r="R160" s="55"/>
      <c r="S160" s="31">
        <f>-21883689.81</f>
        <v>-21883689.809999999</v>
      </c>
      <c r="T160" s="31"/>
      <c r="U160" s="31"/>
      <c r="V160" s="31"/>
      <c r="W160" s="31"/>
      <c r="X160" s="57" t="s">
        <v>36</v>
      </c>
      <c r="Y160" s="57"/>
      <c r="Z160" s="57"/>
    </row>
    <row r="161" spans="1:26" s="1" customFormat="1" ht="14.1" customHeight="1" x14ac:dyDescent="0.2">
      <c r="A161" s="33" t="s">
        <v>221</v>
      </c>
      <c r="B161" s="33"/>
      <c r="C161" s="33"/>
      <c r="D161" s="33"/>
      <c r="E161" s="33"/>
      <c r="F161" s="33"/>
      <c r="G161" s="33"/>
      <c r="H161" s="33"/>
      <c r="I161" s="33"/>
      <c r="J161" s="34" t="s">
        <v>222</v>
      </c>
      <c r="K161" s="34"/>
      <c r="L161" s="34"/>
      <c r="M161" s="34" t="s">
        <v>223</v>
      </c>
      <c r="N161" s="34"/>
      <c r="O161" s="34"/>
      <c r="P161" s="55">
        <f>247163025.16</f>
        <v>247163025.16</v>
      </c>
      <c r="Q161" s="55"/>
      <c r="R161" s="55"/>
      <c r="S161" s="31">
        <f>14712910.23</f>
        <v>14712910.23</v>
      </c>
      <c r="T161" s="31"/>
      <c r="U161" s="31"/>
      <c r="V161" s="31"/>
      <c r="W161" s="31"/>
      <c r="X161" s="57" t="s">
        <v>36</v>
      </c>
      <c r="Y161" s="57"/>
      <c r="Z161" s="57"/>
    </row>
    <row r="162" spans="1:26" s="1" customFormat="1" ht="14.1" customHeight="1" x14ac:dyDescent="0.2">
      <c r="A162" s="59" t="s">
        <v>10</v>
      </c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s="1" customFormat="1" ht="14.1" customHeight="1" x14ac:dyDescent="0.2">
      <c r="A163" s="10" t="s">
        <v>10</v>
      </c>
      <c r="B163" s="10"/>
      <c r="C163" s="10"/>
      <c r="D163" s="10"/>
      <c r="E163" s="10"/>
      <c r="F163" s="60" t="s">
        <v>10</v>
      </c>
      <c r="G163" s="60"/>
      <c r="H163" s="60"/>
      <c r="I163" s="60"/>
      <c r="J163" s="60"/>
      <c r="K163" s="60"/>
      <c r="L163" s="60"/>
      <c r="M163" s="60" t="s">
        <v>226</v>
      </c>
      <c r="N163" s="60"/>
      <c r="O163" s="60"/>
      <c r="P163" s="60"/>
      <c r="Q163" s="60"/>
      <c r="R163" s="10" t="s">
        <v>10</v>
      </c>
      <c r="S163" s="10"/>
      <c r="T163" s="10"/>
      <c r="U163" s="10"/>
      <c r="V163" s="10"/>
      <c r="W163" s="10"/>
      <c r="X163" s="10"/>
      <c r="Y163" s="10"/>
      <c r="Z163" s="10"/>
    </row>
    <row r="164" spans="1:26" s="1" customFormat="1" ht="14.1" customHeight="1" x14ac:dyDescent="0.2">
      <c r="A164" s="10" t="s">
        <v>10</v>
      </c>
      <c r="B164" s="10"/>
      <c r="C164" s="10"/>
      <c r="D164" s="10"/>
      <c r="E164" s="10"/>
      <c r="F164" s="5" t="s">
        <v>10</v>
      </c>
      <c r="G164" s="58" t="s">
        <v>224</v>
      </c>
      <c r="H164" s="58"/>
      <c r="I164" s="58"/>
      <c r="J164" s="58"/>
      <c r="K164" s="10" t="s">
        <v>10</v>
      </c>
      <c r="L164" s="10"/>
      <c r="M164" s="5" t="s">
        <v>10</v>
      </c>
      <c r="N164" s="58" t="s">
        <v>225</v>
      </c>
      <c r="O164" s="58"/>
      <c r="P164" s="58"/>
      <c r="Q164" s="10" t="s">
        <v>10</v>
      </c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s="1" customFormat="1" ht="8.1" customHeight="1" x14ac:dyDescent="0.2">
      <c r="A165" s="10" t="s">
        <v>10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s="1" customFormat="1" ht="14.1" customHeight="1" x14ac:dyDescent="0.2">
      <c r="A166" s="10" t="s">
        <v>10</v>
      </c>
      <c r="B166" s="10"/>
      <c r="C166" s="10"/>
      <c r="D166" s="10"/>
      <c r="E166" s="10"/>
      <c r="F166" s="60" t="s">
        <v>10</v>
      </c>
      <c r="G166" s="60"/>
      <c r="H166" s="60"/>
      <c r="I166" s="60"/>
      <c r="J166" s="60"/>
      <c r="K166" s="60"/>
      <c r="L166" s="60"/>
      <c r="M166" s="60" t="s">
        <v>227</v>
      </c>
      <c r="N166" s="60"/>
      <c r="O166" s="60"/>
      <c r="P166" s="60"/>
      <c r="Q166" s="60"/>
      <c r="R166" s="10" t="s">
        <v>10</v>
      </c>
      <c r="S166" s="10"/>
      <c r="T166" s="10"/>
      <c r="U166" s="10"/>
      <c r="V166" s="10"/>
      <c r="W166" s="10"/>
      <c r="X166" s="10"/>
      <c r="Y166" s="10"/>
      <c r="Z166" s="10"/>
    </row>
    <row r="167" spans="1:26" s="1" customFormat="1" ht="14.1" customHeight="1" x14ac:dyDescent="0.2">
      <c r="A167" s="10" t="s">
        <v>10</v>
      </c>
      <c r="B167" s="10"/>
      <c r="C167" s="10"/>
      <c r="D167" s="10"/>
      <c r="E167" s="10"/>
      <c r="F167" s="5" t="s">
        <v>10</v>
      </c>
      <c r="G167" s="58" t="s">
        <v>224</v>
      </c>
      <c r="H167" s="58"/>
      <c r="I167" s="58"/>
      <c r="J167" s="58"/>
      <c r="K167" s="10" t="s">
        <v>10</v>
      </c>
      <c r="L167" s="10"/>
      <c r="M167" s="5" t="s">
        <v>10</v>
      </c>
      <c r="N167" s="58" t="s">
        <v>225</v>
      </c>
      <c r="O167" s="58"/>
      <c r="P167" s="58"/>
      <c r="Q167" s="10" t="s">
        <v>10</v>
      </c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s="1" customFormat="1" ht="15.95" customHeight="1" x14ac:dyDescent="0.2">
      <c r="A168" s="10" t="s">
        <v>10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s="1" customFormat="1" ht="14.1" customHeight="1" x14ac:dyDescent="0.2">
      <c r="A169" s="61" t="s">
        <v>228</v>
      </c>
      <c r="B169" s="61"/>
      <c r="C169" s="61"/>
      <c r="D169" s="61"/>
      <c r="E169" s="61"/>
      <c r="F169" s="61"/>
      <c r="G169" s="61"/>
      <c r="H169" s="10" t="s">
        <v>10</v>
      </c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</sheetData>
  <mergeCells count="1038">
    <mergeCell ref="A168:Z168"/>
    <mergeCell ref="A169:G169"/>
    <mergeCell ref="H169:Z169"/>
    <mergeCell ref="A165:Z165"/>
    <mergeCell ref="A166:E166"/>
    <mergeCell ref="F166:L166"/>
    <mergeCell ref="M166:Q166"/>
    <mergeCell ref="R166:Z166"/>
    <mergeCell ref="A167:E167"/>
    <mergeCell ref="G167:J167"/>
    <mergeCell ref="K167:L167"/>
    <mergeCell ref="N167:P167"/>
    <mergeCell ref="Q167:Z167"/>
    <mergeCell ref="A162:Z162"/>
    <mergeCell ref="A163:E163"/>
    <mergeCell ref="F163:L163"/>
    <mergeCell ref="M163:Q163"/>
    <mergeCell ref="R163:Z163"/>
    <mergeCell ref="A164:E164"/>
    <mergeCell ref="G164:J164"/>
    <mergeCell ref="K164:L164"/>
    <mergeCell ref="N164:P164"/>
    <mergeCell ref="Q164:Z164"/>
    <mergeCell ref="A161:I161"/>
    <mergeCell ref="J161:L161"/>
    <mergeCell ref="M161:O161"/>
    <mergeCell ref="P161:R161"/>
    <mergeCell ref="S161:W161"/>
    <mergeCell ref="X161:Z161"/>
    <mergeCell ref="A160:I160"/>
    <mergeCell ref="J160:L160"/>
    <mergeCell ref="M160:O160"/>
    <mergeCell ref="P160:R160"/>
    <mergeCell ref="S160:W160"/>
    <mergeCell ref="X160:Z160"/>
    <mergeCell ref="A159:I159"/>
    <mergeCell ref="J159:L159"/>
    <mergeCell ref="M159:O159"/>
    <mergeCell ref="P159:R159"/>
    <mergeCell ref="S159:W159"/>
    <mergeCell ref="X159:Z159"/>
    <mergeCell ref="A158:I158"/>
    <mergeCell ref="J158:L158"/>
    <mergeCell ref="M158:O158"/>
    <mergeCell ref="P158:R158"/>
    <mergeCell ref="S158:W158"/>
    <mergeCell ref="X158:Z158"/>
    <mergeCell ref="A157:I157"/>
    <mergeCell ref="J157:L157"/>
    <mergeCell ref="M157:O157"/>
    <mergeCell ref="P157:R157"/>
    <mergeCell ref="S157:W157"/>
    <mergeCell ref="X157:Z157"/>
    <mergeCell ref="A156:I156"/>
    <mergeCell ref="J156:L156"/>
    <mergeCell ref="M156:O156"/>
    <mergeCell ref="P156:R156"/>
    <mergeCell ref="S156:W156"/>
    <mergeCell ref="X156:Z156"/>
    <mergeCell ref="A155:I155"/>
    <mergeCell ref="J155:L155"/>
    <mergeCell ref="M155:O155"/>
    <mergeCell ref="P155:R155"/>
    <mergeCell ref="S155:W155"/>
    <mergeCell ref="X155:Z155"/>
    <mergeCell ref="A154:I154"/>
    <mergeCell ref="J154:L154"/>
    <mergeCell ref="M154:O154"/>
    <mergeCell ref="P154:R154"/>
    <mergeCell ref="S154:W154"/>
    <mergeCell ref="X154:Z154"/>
    <mergeCell ref="A153:I153"/>
    <mergeCell ref="J153:L153"/>
    <mergeCell ref="M153:O153"/>
    <mergeCell ref="P153:R153"/>
    <mergeCell ref="S153:W153"/>
    <mergeCell ref="X153:Z153"/>
    <mergeCell ref="A152:I152"/>
    <mergeCell ref="J152:L152"/>
    <mergeCell ref="M152:O152"/>
    <mergeCell ref="P152:R152"/>
    <mergeCell ref="S152:W152"/>
    <mergeCell ref="X152:Z152"/>
    <mergeCell ref="A149:Z149"/>
    <mergeCell ref="A150:Z150"/>
    <mergeCell ref="A151:I151"/>
    <mergeCell ref="J151:L151"/>
    <mergeCell ref="M151:O151"/>
    <mergeCell ref="P151:R151"/>
    <mergeCell ref="S151:W151"/>
    <mergeCell ref="X151:Z151"/>
    <mergeCell ref="Y147:Z147"/>
    <mergeCell ref="A148:H148"/>
    <mergeCell ref="I148:K148"/>
    <mergeCell ref="L148:N148"/>
    <mergeCell ref="O148:P148"/>
    <mergeCell ref="Q148:S148"/>
    <mergeCell ref="T148:X148"/>
    <mergeCell ref="Y148:Z148"/>
    <mergeCell ref="A147:H147"/>
    <mergeCell ref="I147:K147"/>
    <mergeCell ref="L147:N147"/>
    <mergeCell ref="O147:P147"/>
    <mergeCell ref="Q147:S147"/>
    <mergeCell ref="T147:X147"/>
    <mergeCell ref="Y145:Z145"/>
    <mergeCell ref="A146:H146"/>
    <mergeCell ref="I146:K146"/>
    <mergeCell ref="L146:N146"/>
    <mergeCell ref="O146:P146"/>
    <mergeCell ref="Q146:S146"/>
    <mergeCell ref="T146:X146"/>
    <mergeCell ref="Y146:Z146"/>
    <mergeCell ref="A145:H145"/>
    <mergeCell ref="I145:K145"/>
    <mergeCell ref="L145:N145"/>
    <mergeCell ref="O145:P145"/>
    <mergeCell ref="Q145:S145"/>
    <mergeCell ref="T145:X145"/>
    <mergeCell ref="Y143:Z143"/>
    <mergeCell ref="A144:H144"/>
    <mergeCell ref="I144:K144"/>
    <mergeCell ref="L144:N144"/>
    <mergeCell ref="O144:P144"/>
    <mergeCell ref="Q144:S144"/>
    <mergeCell ref="T144:X144"/>
    <mergeCell ref="Y144:Z144"/>
    <mergeCell ref="A143:H143"/>
    <mergeCell ref="I143:K143"/>
    <mergeCell ref="L143:N143"/>
    <mergeCell ref="O143:P143"/>
    <mergeCell ref="Q143:S143"/>
    <mergeCell ref="T143:X143"/>
    <mergeCell ref="Y141:Z141"/>
    <mergeCell ref="A142:H142"/>
    <mergeCell ref="I142:K142"/>
    <mergeCell ref="L142:N142"/>
    <mergeCell ref="O142:P142"/>
    <mergeCell ref="Q142:S142"/>
    <mergeCell ref="T142:X142"/>
    <mergeCell ref="Y142:Z142"/>
    <mergeCell ref="A141:H141"/>
    <mergeCell ref="I141:K141"/>
    <mergeCell ref="L141:N141"/>
    <mergeCell ref="O141:P141"/>
    <mergeCell ref="Q141:S141"/>
    <mergeCell ref="T141:X141"/>
    <mergeCell ref="Y139:Z139"/>
    <mergeCell ref="A140:H140"/>
    <mergeCell ref="I140:K140"/>
    <mergeCell ref="L140:N140"/>
    <mergeCell ref="O140:P140"/>
    <mergeCell ref="Q140:S140"/>
    <mergeCell ref="T140:X140"/>
    <mergeCell ref="Y140:Z140"/>
    <mergeCell ref="A139:H139"/>
    <mergeCell ref="I139:K139"/>
    <mergeCell ref="L139:N139"/>
    <mergeCell ref="O139:P139"/>
    <mergeCell ref="Q139:S139"/>
    <mergeCell ref="T139:X139"/>
    <mergeCell ref="Y137:Z137"/>
    <mergeCell ref="A138:H138"/>
    <mergeCell ref="I138:K138"/>
    <mergeCell ref="L138:N138"/>
    <mergeCell ref="O138:P138"/>
    <mergeCell ref="Q138:S138"/>
    <mergeCell ref="T138:X138"/>
    <mergeCell ref="Y138:Z138"/>
    <mergeCell ref="A137:H137"/>
    <mergeCell ref="I137:K137"/>
    <mergeCell ref="L137:N137"/>
    <mergeCell ref="O137:P137"/>
    <mergeCell ref="Q137:S137"/>
    <mergeCell ref="T137:X137"/>
    <mergeCell ref="Y135:Z135"/>
    <mergeCell ref="A136:H136"/>
    <mergeCell ref="I136:K136"/>
    <mergeCell ref="L136:N136"/>
    <mergeCell ref="O136:P136"/>
    <mergeCell ref="Q136:S136"/>
    <mergeCell ref="T136:X136"/>
    <mergeCell ref="Y136:Z136"/>
    <mergeCell ref="A135:H135"/>
    <mergeCell ref="I135:K135"/>
    <mergeCell ref="L135:N135"/>
    <mergeCell ref="O135:P135"/>
    <mergeCell ref="Q135:S135"/>
    <mergeCell ref="T135:X135"/>
    <mergeCell ref="Y133:Z133"/>
    <mergeCell ref="A134:H134"/>
    <mergeCell ref="I134:K134"/>
    <mergeCell ref="L134:N134"/>
    <mergeCell ref="O134:P134"/>
    <mergeCell ref="Q134:S134"/>
    <mergeCell ref="T134:X134"/>
    <mergeCell ref="Y134:Z134"/>
    <mergeCell ref="A133:H133"/>
    <mergeCell ref="I133:K133"/>
    <mergeCell ref="L133:N133"/>
    <mergeCell ref="O133:P133"/>
    <mergeCell ref="Q133:S133"/>
    <mergeCell ref="T133:X133"/>
    <mergeCell ref="Y131:Z131"/>
    <mergeCell ref="A132:H132"/>
    <mergeCell ref="I132:K132"/>
    <mergeCell ref="L132:N132"/>
    <mergeCell ref="O132:P132"/>
    <mergeCell ref="Q132:S132"/>
    <mergeCell ref="T132:X132"/>
    <mergeCell ref="Y132:Z132"/>
    <mergeCell ref="A131:H131"/>
    <mergeCell ref="I131:K131"/>
    <mergeCell ref="L131:N131"/>
    <mergeCell ref="O131:P131"/>
    <mergeCell ref="Q131:S131"/>
    <mergeCell ref="T131:X131"/>
    <mergeCell ref="Y129:Z129"/>
    <mergeCell ref="A130:H130"/>
    <mergeCell ref="I130:K130"/>
    <mergeCell ref="L130:N130"/>
    <mergeCell ref="O130:P130"/>
    <mergeCell ref="Q130:S130"/>
    <mergeCell ref="T130:X130"/>
    <mergeCell ref="Y130:Z130"/>
    <mergeCell ref="A129:H129"/>
    <mergeCell ref="I129:K129"/>
    <mergeCell ref="L129:N129"/>
    <mergeCell ref="O129:P129"/>
    <mergeCell ref="Q129:S129"/>
    <mergeCell ref="T129:X129"/>
    <mergeCell ref="Y127:Z127"/>
    <mergeCell ref="A128:H128"/>
    <mergeCell ref="I128:K128"/>
    <mergeCell ref="L128:N128"/>
    <mergeCell ref="O128:P128"/>
    <mergeCell ref="Q128:S128"/>
    <mergeCell ref="T128:X128"/>
    <mergeCell ref="Y128:Z128"/>
    <mergeCell ref="A127:H127"/>
    <mergeCell ref="I127:K127"/>
    <mergeCell ref="L127:N127"/>
    <mergeCell ref="O127:P127"/>
    <mergeCell ref="Q127:S127"/>
    <mergeCell ref="T127:X127"/>
    <mergeCell ref="Y125:Z125"/>
    <mergeCell ref="A126:H126"/>
    <mergeCell ref="I126:K126"/>
    <mergeCell ref="L126:N126"/>
    <mergeCell ref="O126:P126"/>
    <mergeCell ref="Q126:S126"/>
    <mergeCell ref="T126:X126"/>
    <mergeCell ref="Y126:Z126"/>
    <mergeCell ref="A125:H125"/>
    <mergeCell ref="I125:K125"/>
    <mergeCell ref="L125:N125"/>
    <mergeCell ref="O125:P125"/>
    <mergeCell ref="Q125:S125"/>
    <mergeCell ref="T125:X125"/>
    <mergeCell ref="Y123:Z123"/>
    <mergeCell ref="A124:H124"/>
    <mergeCell ref="I124:K124"/>
    <mergeCell ref="L124:N124"/>
    <mergeCell ref="O124:P124"/>
    <mergeCell ref="Q124:S124"/>
    <mergeCell ref="T124:X124"/>
    <mergeCell ref="Y124:Z124"/>
    <mergeCell ref="A123:H123"/>
    <mergeCell ref="I123:K123"/>
    <mergeCell ref="L123:N123"/>
    <mergeCell ref="O123:P123"/>
    <mergeCell ref="Q123:S123"/>
    <mergeCell ref="T123:X123"/>
    <mergeCell ref="Y121:Z121"/>
    <mergeCell ref="A122:H122"/>
    <mergeCell ref="I122:K122"/>
    <mergeCell ref="L122:N122"/>
    <mergeCell ref="O122:P122"/>
    <mergeCell ref="Q122:S122"/>
    <mergeCell ref="T122:X122"/>
    <mergeCell ref="Y122:Z122"/>
    <mergeCell ref="A121:H121"/>
    <mergeCell ref="I121:K121"/>
    <mergeCell ref="L121:N121"/>
    <mergeCell ref="O121:P121"/>
    <mergeCell ref="Q121:S121"/>
    <mergeCell ref="T121:X121"/>
    <mergeCell ref="Y119:Z119"/>
    <mergeCell ref="A120:H120"/>
    <mergeCell ref="I120:K120"/>
    <mergeCell ref="L120:N120"/>
    <mergeCell ref="O120:P120"/>
    <mergeCell ref="Q120:S120"/>
    <mergeCell ref="T120:X120"/>
    <mergeCell ref="Y120:Z120"/>
    <mergeCell ref="A119:H119"/>
    <mergeCell ref="I119:K119"/>
    <mergeCell ref="L119:N119"/>
    <mergeCell ref="O119:P119"/>
    <mergeCell ref="Q119:S119"/>
    <mergeCell ref="T119:X119"/>
    <mergeCell ref="Y117:Z117"/>
    <mergeCell ref="A118:H118"/>
    <mergeCell ref="I118:K118"/>
    <mergeCell ref="L118:N118"/>
    <mergeCell ref="O118:P118"/>
    <mergeCell ref="Q118:S118"/>
    <mergeCell ref="T118:X118"/>
    <mergeCell ref="Y118:Z118"/>
    <mergeCell ref="A117:H117"/>
    <mergeCell ref="I117:K117"/>
    <mergeCell ref="L117:N117"/>
    <mergeCell ref="O117:P117"/>
    <mergeCell ref="Q117:S117"/>
    <mergeCell ref="T117:X117"/>
    <mergeCell ref="Y115:Z115"/>
    <mergeCell ref="A116:H116"/>
    <mergeCell ref="I116:K116"/>
    <mergeCell ref="L116:N116"/>
    <mergeCell ref="O116:P116"/>
    <mergeCell ref="Q116:S116"/>
    <mergeCell ref="T116:X116"/>
    <mergeCell ref="Y116:Z116"/>
    <mergeCell ref="A115:H115"/>
    <mergeCell ref="I115:K115"/>
    <mergeCell ref="L115:N115"/>
    <mergeCell ref="O115:P115"/>
    <mergeCell ref="Q115:S115"/>
    <mergeCell ref="T115:X115"/>
    <mergeCell ref="Y113:Z113"/>
    <mergeCell ref="A114:H114"/>
    <mergeCell ref="I114:K114"/>
    <mergeCell ref="L114:N114"/>
    <mergeCell ref="O114:P114"/>
    <mergeCell ref="Q114:S114"/>
    <mergeCell ref="T114:X114"/>
    <mergeCell ref="Y114:Z114"/>
    <mergeCell ref="A113:H113"/>
    <mergeCell ref="I113:K113"/>
    <mergeCell ref="L113:N113"/>
    <mergeCell ref="O113:P113"/>
    <mergeCell ref="Q113:S113"/>
    <mergeCell ref="T113:X113"/>
    <mergeCell ref="Y111:Z111"/>
    <mergeCell ref="A112:H112"/>
    <mergeCell ref="I112:K112"/>
    <mergeCell ref="L112:N112"/>
    <mergeCell ref="O112:P112"/>
    <mergeCell ref="Q112:S112"/>
    <mergeCell ref="T112:X112"/>
    <mergeCell ref="Y112:Z112"/>
    <mergeCell ref="A111:H111"/>
    <mergeCell ref="I111:K111"/>
    <mergeCell ref="L111:N111"/>
    <mergeCell ref="O111:P111"/>
    <mergeCell ref="Q111:S111"/>
    <mergeCell ref="T111:X111"/>
    <mergeCell ref="Y109:Z109"/>
    <mergeCell ref="A110:H110"/>
    <mergeCell ref="I110:K110"/>
    <mergeCell ref="L110:N110"/>
    <mergeCell ref="O110:P110"/>
    <mergeCell ref="Q110:S110"/>
    <mergeCell ref="T110:X110"/>
    <mergeCell ref="Y110:Z110"/>
    <mergeCell ref="A109:H109"/>
    <mergeCell ref="I109:K109"/>
    <mergeCell ref="L109:N109"/>
    <mergeCell ref="O109:P109"/>
    <mergeCell ref="Q109:S109"/>
    <mergeCell ref="T109:X109"/>
    <mergeCell ref="Y107:Z107"/>
    <mergeCell ref="A108:H108"/>
    <mergeCell ref="I108:K108"/>
    <mergeCell ref="L108:N108"/>
    <mergeCell ref="O108:P108"/>
    <mergeCell ref="Q108:S108"/>
    <mergeCell ref="T108:X108"/>
    <mergeCell ref="Y108:Z108"/>
    <mergeCell ref="A107:H107"/>
    <mergeCell ref="I107:K107"/>
    <mergeCell ref="L107:N107"/>
    <mergeCell ref="O107:P107"/>
    <mergeCell ref="Q107:S107"/>
    <mergeCell ref="T107:X107"/>
    <mergeCell ref="Y105:Z105"/>
    <mergeCell ref="A106:H106"/>
    <mergeCell ref="I106:K106"/>
    <mergeCell ref="L106:N106"/>
    <mergeCell ref="O106:P106"/>
    <mergeCell ref="Q106:S106"/>
    <mergeCell ref="T106:X106"/>
    <mergeCell ref="Y106:Z106"/>
    <mergeCell ref="A105:H105"/>
    <mergeCell ref="I105:K105"/>
    <mergeCell ref="L105:N105"/>
    <mergeCell ref="O105:P105"/>
    <mergeCell ref="Q105:S105"/>
    <mergeCell ref="T105:X105"/>
    <mergeCell ref="Y103:Z103"/>
    <mergeCell ref="A104:H104"/>
    <mergeCell ref="I104:K104"/>
    <mergeCell ref="L104:N104"/>
    <mergeCell ref="O104:P104"/>
    <mergeCell ref="Q104:S104"/>
    <mergeCell ref="T104:X104"/>
    <mergeCell ref="Y104:Z104"/>
    <mergeCell ref="A103:H103"/>
    <mergeCell ref="I103:K103"/>
    <mergeCell ref="L103:N103"/>
    <mergeCell ref="O103:P103"/>
    <mergeCell ref="Q103:S103"/>
    <mergeCell ref="T103:X103"/>
    <mergeCell ref="Y101:Z101"/>
    <mergeCell ref="A102:H102"/>
    <mergeCell ref="I102:K102"/>
    <mergeCell ref="L102:N102"/>
    <mergeCell ref="O102:P102"/>
    <mergeCell ref="Q102:S102"/>
    <mergeCell ref="T102:X102"/>
    <mergeCell ref="Y102:Z102"/>
    <mergeCell ref="A101:H101"/>
    <mergeCell ref="I101:K101"/>
    <mergeCell ref="L101:N101"/>
    <mergeCell ref="O101:P101"/>
    <mergeCell ref="Q101:S101"/>
    <mergeCell ref="T101:X101"/>
    <mergeCell ref="Y99:Z99"/>
    <mergeCell ref="A100:H100"/>
    <mergeCell ref="I100:K100"/>
    <mergeCell ref="L100:N100"/>
    <mergeCell ref="O100:P100"/>
    <mergeCell ref="Q100:S100"/>
    <mergeCell ref="T100:X100"/>
    <mergeCell ref="Y100:Z100"/>
    <mergeCell ref="A99:H99"/>
    <mergeCell ref="I99:K99"/>
    <mergeCell ref="L99:N99"/>
    <mergeCell ref="O99:P99"/>
    <mergeCell ref="Q99:S99"/>
    <mergeCell ref="T99:X99"/>
    <mergeCell ref="Y97:Z97"/>
    <mergeCell ref="A98:H98"/>
    <mergeCell ref="I98:K98"/>
    <mergeCell ref="L98:N98"/>
    <mergeCell ref="O98:P98"/>
    <mergeCell ref="Q98:S98"/>
    <mergeCell ref="T98:X98"/>
    <mergeCell ref="Y98:Z98"/>
    <mergeCell ref="A97:H97"/>
    <mergeCell ref="I97:K97"/>
    <mergeCell ref="L97:N97"/>
    <mergeCell ref="O97:P97"/>
    <mergeCell ref="Q97:S97"/>
    <mergeCell ref="T97:X97"/>
    <mergeCell ref="Y95:Z95"/>
    <mergeCell ref="A96:H96"/>
    <mergeCell ref="I96:K96"/>
    <mergeCell ref="L96:N96"/>
    <mergeCell ref="O96:P96"/>
    <mergeCell ref="Q96:S96"/>
    <mergeCell ref="T96:X96"/>
    <mergeCell ref="Y96:Z96"/>
    <mergeCell ref="A95:H95"/>
    <mergeCell ref="I95:K95"/>
    <mergeCell ref="L95:N95"/>
    <mergeCell ref="O95:P95"/>
    <mergeCell ref="Q95:S95"/>
    <mergeCell ref="T95:X95"/>
    <mergeCell ref="Y93:Z93"/>
    <mergeCell ref="A94:H94"/>
    <mergeCell ref="I94:K94"/>
    <mergeCell ref="L94:N94"/>
    <mergeCell ref="O94:P94"/>
    <mergeCell ref="Q94:S94"/>
    <mergeCell ref="T94:X94"/>
    <mergeCell ref="Y94:Z94"/>
    <mergeCell ref="A93:H93"/>
    <mergeCell ref="I93:K93"/>
    <mergeCell ref="L93:N93"/>
    <mergeCell ref="O93:P93"/>
    <mergeCell ref="Q93:S93"/>
    <mergeCell ref="T93:X93"/>
    <mergeCell ref="Y91:Z91"/>
    <mergeCell ref="A92:H92"/>
    <mergeCell ref="I92:K92"/>
    <mergeCell ref="L92:N92"/>
    <mergeCell ref="O92:P92"/>
    <mergeCell ref="Q92:S92"/>
    <mergeCell ref="T92:X92"/>
    <mergeCell ref="Y92:Z92"/>
    <mergeCell ref="A91:H91"/>
    <mergeCell ref="I91:K91"/>
    <mergeCell ref="L91:N91"/>
    <mergeCell ref="O91:P91"/>
    <mergeCell ref="Q91:S91"/>
    <mergeCell ref="T91:X91"/>
    <mergeCell ref="Y89:Z89"/>
    <mergeCell ref="A90:H90"/>
    <mergeCell ref="I90:K90"/>
    <mergeCell ref="L90:N90"/>
    <mergeCell ref="O90:P90"/>
    <mergeCell ref="Q90:S90"/>
    <mergeCell ref="T90:X90"/>
    <mergeCell ref="Y90:Z90"/>
    <mergeCell ref="A89:H89"/>
    <mergeCell ref="I89:K89"/>
    <mergeCell ref="L89:N89"/>
    <mergeCell ref="O89:P89"/>
    <mergeCell ref="Q89:S89"/>
    <mergeCell ref="T89:X89"/>
    <mergeCell ref="Y87:Z87"/>
    <mergeCell ref="A88:H88"/>
    <mergeCell ref="I88:K88"/>
    <mergeCell ref="L88:N88"/>
    <mergeCell ref="O88:P88"/>
    <mergeCell ref="Q88:S88"/>
    <mergeCell ref="T88:X88"/>
    <mergeCell ref="Y88:Z88"/>
    <mergeCell ref="A87:H87"/>
    <mergeCell ref="I87:K87"/>
    <mergeCell ref="L87:N87"/>
    <mergeCell ref="O87:P87"/>
    <mergeCell ref="Q87:S87"/>
    <mergeCell ref="T87:X87"/>
    <mergeCell ref="Y85:Z85"/>
    <mergeCell ref="A86:H86"/>
    <mergeCell ref="I86:K86"/>
    <mergeCell ref="L86:N86"/>
    <mergeCell ref="O86:P86"/>
    <mergeCell ref="Q86:S86"/>
    <mergeCell ref="T86:X86"/>
    <mergeCell ref="Y86:Z86"/>
    <mergeCell ref="A85:H85"/>
    <mergeCell ref="I85:K85"/>
    <mergeCell ref="L85:N85"/>
    <mergeCell ref="O85:P85"/>
    <mergeCell ref="Q85:S85"/>
    <mergeCell ref="T85:X85"/>
    <mergeCell ref="Y83:Z83"/>
    <mergeCell ref="A84:H84"/>
    <mergeCell ref="I84:K84"/>
    <mergeCell ref="L84:N84"/>
    <mergeCell ref="O84:P84"/>
    <mergeCell ref="Q84:S84"/>
    <mergeCell ref="T84:X84"/>
    <mergeCell ref="Y84:Z84"/>
    <mergeCell ref="A83:H83"/>
    <mergeCell ref="I83:K83"/>
    <mergeCell ref="L83:N83"/>
    <mergeCell ref="O83:P83"/>
    <mergeCell ref="Q83:S83"/>
    <mergeCell ref="T83:X83"/>
    <mergeCell ref="Y81:Z81"/>
    <mergeCell ref="A82:H82"/>
    <mergeCell ref="I82:K82"/>
    <mergeCell ref="L82:N82"/>
    <mergeCell ref="O82:P82"/>
    <mergeCell ref="Q82:S82"/>
    <mergeCell ref="T82:X82"/>
    <mergeCell ref="Y82:Z82"/>
    <mergeCell ref="A81:H81"/>
    <mergeCell ref="I81:K81"/>
    <mergeCell ref="L81:N81"/>
    <mergeCell ref="O81:P81"/>
    <mergeCell ref="Q81:S81"/>
    <mergeCell ref="T81:X81"/>
    <mergeCell ref="Y79:Z79"/>
    <mergeCell ref="A80:H80"/>
    <mergeCell ref="I80:K80"/>
    <mergeCell ref="L80:N80"/>
    <mergeCell ref="O80:P80"/>
    <mergeCell ref="Q80:S80"/>
    <mergeCell ref="T80:X80"/>
    <mergeCell ref="Y80:Z80"/>
    <mergeCell ref="A79:H79"/>
    <mergeCell ref="I79:K79"/>
    <mergeCell ref="L79:N79"/>
    <mergeCell ref="O79:P79"/>
    <mergeCell ref="Q79:S79"/>
    <mergeCell ref="T79:X79"/>
    <mergeCell ref="Y77:Z77"/>
    <mergeCell ref="A78:H78"/>
    <mergeCell ref="I78:K78"/>
    <mergeCell ref="L78:N78"/>
    <mergeCell ref="O78:P78"/>
    <mergeCell ref="Q78:S78"/>
    <mergeCell ref="T78:X78"/>
    <mergeCell ref="Y78:Z78"/>
    <mergeCell ref="A77:H77"/>
    <mergeCell ref="I77:K77"/>
    <mergeCell ref="L77:N77"/>
    <mergeCell ref="O77:P77"/>
    <mergeCell ref="Q77:S77"/>
    <mergeCell ref="T77:X77"/>
    <mergeCell ref="Y75:Z75"/>
    <mergeCell ref="A76:H76"/>
    <mergeCell ref="I76:K76"/>
    <mergeCell ref="L76:N76"/>
    <mergeCell ref="O76:P76"/>
    <mergeCell ref="Q76:S76"/>
    <mergeCell ref="T76:X76"/>
    <mergeCell ref="Y76:Z76"/>
    <mergeCell ref="A75:H75"/>
    <mergeCell ref="I75:K75"/>
    <mergeCell ref="L75:N75"/>
    <mergeCell ref="O75:P75"/>
    <mergeCell ref="Q75:S75"/>
    <mergeCell ref="T75:X75"/>
    <mergeCell ref="Y73:Z73"/>
    <mergeCell ref="A74:H74"/>
    <mergeCell ref="I74:K74"/>
    <mergeCell ref="L74:N74"/>
    <mergeCell ref="O74:P74"/>
    <mergeCell ref="Q74:S74"/>
    <mergeCell ref="T74:X74"/>
    <mergeCell ref="Y74:Z74"/>
    <mergeCell ref="A73:H73"/>
    <mergeCell ref="I73:K73"/>
    <mergeCell ref="L73:N73"/>
    <mergeCell ref="O73:P73"/>
    <mergeCell ref="Q73:S73"/>
    <mergeCell ref="T73:X73"/>
    <mergeCell ref="Y71:Z71"/>
    <mergeCell ref="A72:H72"/>
    <mergeCell ref="I72:K72"/>
    <mergeCell ref="L72:N72"/>
    <mergeCell ref="O72:P72"/>
    <mergeCell ref="Q72:S72"/>
    <mergeCell ref="T72:X72"/>
    <mergeCell ref="Y72:Z72"/>
    <mergeCell ref="A71:H71"/>
    <mergeCell ref="I71:K71"/>
    <mergeCell ref="L71:N71"/>
    <mergeCell ref="O71:P71"/>
    <mergeCell ref="Q71:S71"/>
    <mergeCell ref="T71:X71"/>
    <mergeCell ref="Y69:Z69"/>
    <mergeCell ref="A70:H70"/>
    <mergeCell ref="I70:K70"/>
    <mergeCell ref="L70:N70"/>
    <mergeCell ref="O70:P70"/>
    <mergeCell ref="Q70:S70"/>
    <mergeCell ref="T70:X70"/>
    <mergeCell ref="Y70:Z70"/>
    <mergeCell ref="A69:H69"/>
    <mergeCell ref="I69:K69"/>
    <mergeCell ref="L69:N69"/>
    <mergeCell ref="O69:P69"/>
    <mergeCell ref="Q69:S69"/>
    <mergeCell ref="T69:X69"/>
    <mergeCell ref="Y67:Z67"/>
    <mergeCell ref="A68:H68"/>
    <mergeCell ref="I68:K68"/>
    <mergeCell ref="L68:N68"/>
    <mergeCell ref="O68:P68"/>
    <mergeCell ref="Q68:S68"/>
    <mergeCell ref="T68:X68"/>
    <mergeCell ref="Y68:Z68"/>
    <mergeCell ref="A67:H67"/>
    <mergeCell ref="I67:K67"/>
    <mergeCell ref="L67:N67"/>
    <mergeCell ref="O67:P67"/>
    <mergeCell ref="Q67:S67"/>
    <mergeCell ref="T67:X67"/>
    <mergeCell ref="Y65:Z65"/>
    <mergeCell ref="A66:H66"/>
    <mergeCell ref="I66:K66"/>
    <mergeCell ref="L66:N66"/>
    <mergeCell ref="O66:P66"/>
    <mergeCell ref="Q66:S66"/>
    <mergeCell ref="T66:X66"/>
    <mergeCell ref="Y66:Z66"/>
    <mergeCell ref="A65:H65"/>
    <mergeCell ref="I65:K65"/>
    <mergeCell ref="L65:N65"/>
    <mergeCell ref="O65:P65"/>
    <mergeCell ref="Q65:S65"/>
    <mergeCell ref="T65:X65"/>
    <mergeCell ref="Y63:Z63"/>
    <mergeCell ref="A64:H64"/>
    <mergeCell ref="I64:K64"/>
    <mergeCell ref="L64:N64"/>
    <mergeCell ref="O64:P64"/>
    <mergeCell ref="Q64:S64"/>
    <mergeCell ref="T64:X64"/>
    <mergeCell ref="Y64:Z64"/>
    <mergeCell ref="A63:H63"/>
    <mergeCell ref="I63:K63"/>
    <mergeCell ref="L63:N63"/>
    <mergeCell ref="O63:P63"/>
    <mergeCell ref="Q63:S63"/>
    <mergeCell ref="T63:X63"/>
    <mergeCell ref="Y61:Z61"/>
    <mergeCell ref="A62:H62"/>
    <mergeCell ref="I62:K62"/>
    <mergeCell ref="L62:N62"/>
    <mergeCell ref="O62:P62"/>
    <mergeCell ref="Q62:S62"/>
    <mergeCell ref="T62:X62"/>
    <mergeCell ref="Y62:Z62"/>
    <mergeCell ref="A61:H61"/>
    <mergeCell ref="I61:K61"/>
    <mergeCell ref="L61:N61"/>
    <mergeCell ref="O61:P61"/>
    <mergeCell ref="Q61:S61"/>
    <mergeCell ref="T61:X61"/>
    <mergeCell ref="Y59:Z59"/>
    <mergeCell ref="A60:H60"/>
    <mergeCell ref="I60:K60"/>
    <mergeCell ref="L60:N60"/>
    <mergeCell ref="O60:P60"/>
    <mergeCell ref="Q60:S60"/>
    <mergeCell ref="T60:X60"/>
    <mergeCell ref="Y60:Z60"/>
    <mergeCell ref="A59:H59"/>
    <mergeCell ref="I59:K59"/>
    <mergeCell ref="L59:N59"/>
    <mergeCell ref="O59:P59"/>
    <mergeCell ref="Q59:S59"/>
    <mergeCell ref="T59:X59"/>
    <mergeCell ref="Y57:Z57"/>
    <mergeCell ref="A58:H58"/>
    <mergeCell ref="I58:K58"/>
    <mergeCell ref="L58:N58"/>
    <mergeCell ref="O58:P58"/>
    <mergeCell ref="Q58:S58"/>
    <mergeCell ref="T58:X58"/>
    <mergeCell ref="Y58:Z58"/>
    <mergeCell ref="A57:H57"/>
    <mergeCell ref="I57:K57"/>
    <mergeCell ref="L57:N57"/>
    <mergeCell ref="O57:P57"/>
    <mergeCell ref="Q57:S57"/>
    <mergeCell ref="T57:X57"/>
    <mergeCell ref="Y55:Z55"/>
    <mergeCell ref="A56:H56"/>
    <mergeCell ref="I56:K56"/>
    <mergeCell ref="L56:N56"/>
    <mergeCell ref="O56:P56"/>
    <mergeCell ref="Q56:S56"/>
    <mergeCell ref="T56:X56"/>
    <mergeCell ref="Y56:Z56"/>
    <mergeCell ref="A55:H55"/>
    <mergeCell ref="I55:K55"/>
    <mergeCell ref="L55:N55"/>
    <mergeCell ref="O55:P55"/>
    <mergeCell ref="Q55:S55"/>
    <mergeCell ref="T55:X55"/>
    <mergeCell ref="Y53:Z53"/>
    <mergeCell ref="A54:H54"/>
    <mergeCell ref="I54:K54"/>
    <mergeCell ref="L54:N54"/>
    <mergeCell ref="O54:P54"/>
    <mergeCell ref="Q54:S54"/>
    <mergeCell ref="T54:X54"/>
    <mergeCell ref="Y54:Z54"/>
    <mergeCell ref="A53:H53"/>
    <mergeCell ref="I53:K53"/>
    <mergeCell ref="L53:N53"/>
    <mergeCell ref="O53:P53"/>
    <mergeCell ref="Q53:S53"/>
    <mergeCell ref="T53:X53"/>
    <mergeCell ref="Y51:Z51"/>
    <mergeCell ref="A52:H52"/>
    <mergeCell ref="I52:K52"/>
    <mergeCell ref="L52:N52"/>
    <mergeCell ref="O52:P52"/>
    <mergeCell ref="Q52:S52"/>
    <mergeCell ref="T52:X52"/>
    <mergeCell ref="Y52:Z52"/>
    <mergeCell ref="A51:H51"/>
    <mergeCell ref="I51:K51"/>
    <mergeCell ref="L51:N51"/>
    <mergeCell ref="O51:P51"/>
    <mergeCell ref="Q51:S51"/>
    <mergeCell ref="T51:X51"/>
    <mergeCell ref="Y49:Z49"/>
    <mergeCell ref="A50:H50"/>
    <mergeCell ref="I50:K50"/>
    <mergeCell ref="L50:N50"/>
    <mergeCell ref="O50:P50"/>
    <mergeCell ref="Q50:S50"/>
    <mergeCell ref="T50:X50"/>
    <mergeCell ref="Y50:Z50"/>
    <mergeCell ref="A49:H49"/>
    <mergeCell ref="I49:K49"/>
    <mergeCell ref="L49:N49"/>
    <mergeCell ref="O49:P49"/>
    <mergeCell ref="Q49:S49"/>
    <mergeCell ref="T49:X49"/>
    <mergeCell ref="Y47:Z47"/>
    <mergeCell ref="A48:H48"/>
    <mergeCell ref="I48:K48"/>
    <mergeCell ref="L48:N48"/>
    <mergeCell ref="O48:P48"/>
    <mergeCell ref="Q48:S48"/>
    <mergeCell ref="T48:X48"/>
    <mergeCell ref="Y48:Z48"/>
    <mergeCell ref="A47:H47"/>
    <mergeCell ref="I47:K47"/>
    <mergeCell ref="L47:N47"/>
    <mergeCell ref="O47:P47"/>
    <mergeCell ref="Q47:S47"/>
    <mergeCell ref="T47:X47"/>
    <mergeCell ref="Y45:Z45"/>
    <mergeCell ref="A46:H46"/>
    <mergeCell ref="I46:K46"/>
    <mergeCell ref="L46:N46"/>
    <mergeCell ref="O46:P46"/>
    <mergeCell ref="Q46:S46"/>
    <mergeCell ref="T46:X46"/>
    <mergeCell ref="Y46:Z46"/>
    <mergeCell ref="A45:H45"/>
    <mergeCell ref="I45:K45"/>
    <mergeCell ref="L45:N45"/>
    <mergeCell ref="O45:P45"/>
    <mergeCell ref="Q45:S45"/>
    <mergeCell ref="T45:X45"/>
    <mergeCell ref="Y43:Z43"/>
    <mergeCell ref="A44:H44"/>
    <mergeCell ref="I44:K44"/>
    <mergeCell ref="L44:N44"/>
    <mergeCell ref="O44:P44"/>
    <mergeCell ref="Q44:S44"/>
    <mergeCell ref="T44:X44"/>
    <mergeCell ref="Y44:Z44"/>
    <mergeCell ref="A43:H43"/>
    <mergeCell ref="I43:K43"/>
    <mergeCell ref="L43:N43"/>
    <mergeCell ref="O43:P43"/>
    <mergeCell ref="Q43:S43"/>
    <mergeCell ref="T43:X43"/>
    <mergeCell ref="A40:Z40"/>
    <mergeCell ref="A41:Z41"/>
    <mergeCell ref="A42:H42"/>
    <mergeCell ref="I42:K42"/>
    <mergeCell ref="L42:N42"/>
    <mergeCell ref="O42:P42"/>
    <mergeCell ref="Q42:S42"/>
    <mergeCell ref="T42:X42"/>
    <mergeCell ref="Y42:Z42"/>
    <mergeCell ref="A39:I39"/>
    <mergeCell ref="J39:L39"/>
    <mergeCell ref="M39:O39"/>
    <mergeCell ref="P39:R39"/>
    <mergeCell ref="S39:W39"/>
    <mergeCell ref="X39:Z39"/>
    <mergeCell ref="A38:I38"/>
    <mergeCell ref="J38:L38"/>
    <mergeCell ref="M38:O38"/>
    <mergeCell ref="P38:R38"/>
    <mergeCell ref="S38:W38"/>
    <mergeCell ref="X38:Z38"/>
    <mergeCell ref="A37:I37"/>
    <mergeCell ref="J37:L37"/>
    <mergeCell ref="M37:O37"/>
    <mergeCell ref="P37:R37"/>
    <mergeCell ref="S37:W37"/>
    <mergeCell ref="X37:Z37"/>
    <mergeCell ref="A36:I36"/>
    <mergeCell ref="J36:L36"/>
    <mergeCell ref="M36:O36"/>
    <mergeCell ref="P36:R36"/>
    <mergeCell ref="S36:W36"/>
    <mergeCell ref="X36:Z36"/>
    <mergeCell ref="A35:I35"/>
    <mergeCell ref="J35:L35"/>
    <mergeCell ref="M35:O35"/>
    <mergeCell ref="P35:R35"/>
    <mergeCell ref="S35:W35"/>
    <mergeCell ref="X35:Z35"/>
    <mergeCell ref="A34:I34"/>
    <mergeCell ref="J34:L34"/>
    <mergeCell ref="M34:O34"/>
    <mergeCell ref="P34:R34"/>
    <mergeCell ref="S34:W34"/>
    <mergeCell ref="X34:Z34"/>
    <mergeCell ref="A33:I33"/>
    <mergeCell ref="J33:L33"/>
    <mergeCell ref="M33:O33"/>
    <mergeCell ref="P33:R33"/>
    <mergeCell ref="S33:W33"/>
    <mergeCell ref="X33:Z33"/>
    <mergeCell ref="A32:I32"/>
    <mergeCell ref="J32:L32"/>
    <mergeCell ref="M32:O32"/>
    <mergeCell ref="P32:R32"/>
    <mergeCell ref="S32:W32"/>
    <mergeCell ref="X32:Z32"/>
    <mergeCell ref="A31:I31"/>
    <mergeCell ref="J31:L31"/>
    <mergeCell ref="M31:O31"/>
    <mergeCell ref="P31:R31"/>
    <mergeCell ref="S31:W31"/>
    <mergeCell ref="X31:Z31"/>
    <mergeCell ref="A30:I30"/>
    <mergeCell ref="J30:L30"/>
    <mergeCell ref="M30:O30"/>
    <mergeCell ref="P30:R30"/>
    <mergeCell ref="S30:W30"/>
    <mergeCell ref="X30:Z30"/>
    <mergeCell ref="A29:I29"/>
    <mergeCell ref="J29:L29"/>
    <mergeCell ref="M29:O29"/>
    <mergeCell ref="P29:R29"/>
    <mergeCell ref="S29:W29"/>
    <mergeCell ref="X29:Z29"/>
    <mergeCell ref="A28:I28"/>
    <mergeCell ref="J28:L28"/>
    <mergeCell ref="M28:O28"/>
    <mergeCell ref="P28:R28"/>
    <mergeCell ref="S28:W28"/>
    <mergeCell ref="X28:Z28"/>
    <mergeCell ref="A27:I27"/>
    <mergeCell ref="J27:L27"/>
    <mergeCell ref="M27:O27"/>
    <mergeCell ref="P27:R27"/>
    <mergeCell ref="S27:W27"/>
    <mergeCell ref="X27:Z27"/>
    <mergeCell ref="A26:I26"/>
    <mergeCell ref="J26:L26"/>
    <mergeCell ref="M26:O26"/>
    <mergeCell ref="P26:R26"/>
    <mergeCell ref="S26:W26"/>
    <mergeCell ref="X26:Z26"/>
    <mergeCell ref="A25:I25"/>
    <mergeCell ref="J25:L25"/>
    <mergeCell ref="M25:O25"/>
    <mergeCell ref="P25:R25"/>
    <mergeCell ref="S25:W25"/>
    <mergeCell ref="X25:Z25"/>
    <mergeCell ref="A24:I24"/>
    <mergeCell ref="J24:L24"/>
    <mergeCell ref="M24:O24"/>
    <mergeCell ref="P24:R24"/>
    <mergeCell ref="S24:W24"/>
    <mergeCell ref="X24:Z24"/>
    <mergeCell ref="A23:I23"/>
    <mergeCell ref="J23:L23"/>
    <mergeCell ref="M23:O23"/>
    <mergeCell ref="P23:R23"/>
    <mergeCell ref="S23:W23"/>
    <mergeCell ref="X23:Z23"/>
    <mergeCell ref="A22:I22"/>
    <mergeCell ref="J22:L22"/>
    <mergeCell ref="M22:O22"/>
    <mergeCell ref="P22:R22"/>
    <mergeCell ref="S22:W22"/>
    <mergeCell ref="X22:Z22"/>
    <mergeCell ref="A21:I21"/>
    <mergeCell ref="J21:L21"/>
    <mergeCell ref="M21:O21"/>
    <mergeCell ref="P21:R21"/>
    <mergeCell ref="S21:W21"/>
    <mergeCell ref="X21:Z21"/>
    <mergeCell ref="A20:I20"/>
    <mergeCell ref="J20:L20"/>
    <mergeCell ref="M20:O20"/>
    <mergeCell ref="P20:R20"/>
    <mergeCell ref="S20:W20"/>
    <mergeCell ref="X20:Z20"/>
    <mergeCell ref="A19:I19"/>
    <mergeCell ref="J19:L19"/>
    <mergeCell ref="M19:O19"/>
    <mergeCell ref="P19:R19"/>
    <mergeCell ref="S19:W19"/>
    <mergeCell ref="X19:Z19"/>
    <mergeCell ref="A18:I18"/>
    <mergeCell ref="J18:L18"/>
    <mergeCell ref="M18:O18"/>
    <mergeCell ref="P18:R18"/>
    <mergeCell ref="S18:W18"/>
    <mergeCell ref="X18:Z18"/>
    <mergeCell ref="A17:I17"/>
    <mergeCell ref="J17:L17"/>
    <mergeCell ref="M17:O17"/>
    <mergeCell ref="P17:R17"/>
    <mergeCell ref="S17:W17"/>
    <mergeCell ref="X17:Z17"/>
    <mergeCell ref="A16:I16"/>
    <mergeCell ref="J16:L16"/>
    <mergeCell ref="M16:O16"/>
    <mergeCell ref="P16:R16"/>
    <mergeCell ref="S16:W16"/>
    <mergeCell ref="X16:Z16"/>
    <mergeCell ref="A15:I15"/>
    <mergeCell ref="J15:L15"/>
    <mergeCell ref="M15:O15"/>
    <mergeCell ref="P15:R15"/>
    <mergeCell ref="S15:W15"/>
    <mergeCell ref="X15:Z15"/>
    <mergeCell ref="A14:I14"/>
    <mergeCell ref="J14:L14"/>
    <mergeCell ref="M14:O14"/>
    <mergeCell ref="P14:R14"/>
    <mergeCell ref="S14:W14"/>
    <mergeCell ref="X14:Z14"/>
    <mergeCell ref="A13:I13"/>
    <mergeCell ref="J13:L13"/>
    <mergeCell ref="M13:O13"/>
    <mergeCell ref="P13:R13"/>
    <mergeCell ref="S13:W13"/>
    <mergeCell ref="X13:Z13"/>
    <mergeCell ref="A12:I12"/>
    <mergeCell ref="J12:L12"/>
    <mergeCell ref="M12:O12"/>
    <mergeCell ref="P12:R12"/>
    <mergeCell ref="S12:W12"/>
    <mergeCell ref="X12:Z12"/>
    <mergeCell ref="A11:I11"/>
    <mergeCell ref="J11:L11"/>
    <mergeCell ref="M11:O11"/>
    <mergeCell ref="P11:R11"/>
    <mergeCell ref="S11:W11"/>
    <mergeCell ref="X11:Z11"/>
    <mergeCell ref="A9:Z9"/>
    <mergeCell ref="A10:I10"/>
    <mergeCell ref="J10:L10"/>
    <mergeCell ref="M10:O10"/>
    <mergeCell ref="P10:R10"/>
    <mergeCell ref="S10:W10"/>
    <mergeCell ref="X10:Z10"/>
    <mergeCell ref="A6:D6"/>
    <mergeCell ref="E6:U6"/>
    <mergeCell ref="V6:Y6"/>
    <mergeCell ref="B7:Y7"/>
    <mergeCell ref="A8:B8"/>
    <mergeCell ref="C8:T8"/>
    <mergeCell ref="U8:Y8"/>
    <mergeCell ref="A1:Y1"/>
    <mergeCell ref="A2:Y2"/>
    <mergeCell ref="A3:V3"/>
    <mergeCell ref="W3:Y3"/>
    <mergeCell ref="A4:C5"/>
    <mergeCell ref="D4:U5"/>
    <mergeCell ref="V4:Y4"/>
    <mergeCell ref="V5:Y5"/>
  </mergeCells>
  <pageMargins left="0.39370078740157483" right="0" top="0.39370078740157483" bottom="0" header="0.5" footer="0.5"/>
  <pageSetup paperSize="9" scale="94" firstPageNumber="4294967295" fitToHeight="0" orientation="landscape" r:id="rId1"/>
  <headerFooter alignWithMargins="0">
    <oddFooter>&amp;CСтраница &amp;С из &amp;К</oddFooter>
  </headerFooter>
  <rowBreaks count="2" manualBreakCount="2">
    <brk id="40" max="16383" man="1"/>
    <brk id="149" max="16383" man="1"/>
  </rowBreaks>
  <colBreaks count="2" manualBreakCount="2">
    <brk max="1048575" man="1"/>
    <brk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0503117 Отчет об исп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2024-05-20T12:25:54Z</cp:lastPrinted>
  <dcterms:created xsi:type="dcterms:W3CDTF">2024-11-05T13:23:24Z</dcterms:created>
  <dcterms:modified xsi:type="dcterms:W3CDTF">2024-11-05T13:23:24Z</dcterms:modified>
</cp:coreProperties>
</file>