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44525"/>
</workbook>
</file>

<file path=xl/calcChain.xml><?xml version="1.0" encoding="utf-8"?>
<calcChain xmlns="http://schemas.openxmlformats.org/spreadsheetml/2006/main">
  <c r="P12" i="1" l="1"/>
  <c r="S12" i="1"/>
  <c r="X12" i="1"/>
  <c r="P13" i="1"/>
  <c r="P14" i="1"/>
  <c r="P15" i="1"/>
  <c r="P16" i="1"/>
  <c r="S16" i="1"/>
  <c r="P17" i="1"/>
  <c r="S17" i="1"/>
  <c r="X17" i="1"/>
  <c r="P18" i="1"/>
  <c r="S18" i="1"/>
  <c r="P19" i="1"/>
  <c r="S19" i="1"/>
  <c r="P20" i="1"/>
  <c r="S20" i="1"/>
  <c r="P21" i="1"/>
  <c r="S21" i="1"/>
  <c r="P22" i="1"/>
  <c r="S22" i="1"/>
  <c r="P23" i="1"/>
  <c r="S23" i="1"/>
  <c r="P24" i="1"/>
  <c r="S24" i="1"/>
  <c r="P25" i="1"/>
  <c r="S25" i="1"/>
  <c r="S26" i="1"/>
  <c r="P27" i="1"/>
  <c r="S27" i="1"/>
  <c r="P28" i="1"/>
  <c r="S28" i="1"/>
  <c r="P29" i="1"/>
  <c r="S29" i="1"/>
  <c r="P30" i="1"/>
  <c r="S30" i="1"/>
  <c r="P31" i="1"/>
  <c r="S31" i="1"/>
  <c r="P32" i="1"/>
  <c r="S32" i="1"/>
  <c r="S33" i="1"/>
  <c r="P34" i="1"/>
  <c r="S34" i="1"/>
  <c r="S35" i="1"/>
  <c r="P36" i="1"/>
  <c r="S36" i="1"/>
  <c r="X36" i="1"/>
  <c r="P37" i="1"/>
  <c r="S37" i="1"/>
  <c r="X37" i="1"/>
  <c r="P38" i="1"/>
  <c r="S38" i="1"/>
  <c r="X38" i="1"/>
  <c r="P39" i="1"/>
  <c r="S39" i="1"/>
  <c r="X39" i="1"/>
  <c r="P40" i="1"/>
  <c r="S40" i="1"/>
  <c r="X40" i="1"/>
  <c r="P41" i="1"/>
  <c r="S41" i="1"/>
  <c r="X41" i="1"/>
  <c r="P42" i="1"/>
  <c r="S42" i="1"/>
  <c r="X42" i="1"/>
  <c r="P43" i="1"/>
  <c r="S43" i="1"/>
  <c r="S44" i="1"/>
  <c r="Q49" i="1"/>
  <c r="T49" i="1"/>
  <c r="Y49" i="1"/>
  <c r="Q50" i="1"/>
  <c r="T50" i="1"/>
  <c r="Y50" i="1"/>
  <c r="Q51" i="1"/>
  <c r="T51" i="1"/>
  <c r="Y51" i="1"/>
  <c r="Q52" i="1"/>
  <c r="T52" i="1"/>
  <c r="Y52" i="1"/>
  <c r="Q53" i="1"/>
  <c r="T53" i="1"/>
  <c r="Y53" i="1"/>
  <c r="Q54" i="1"/>
  <c r="T54" i="1"/>
  <c r="Y54" i="1"/>
  <c r="Q55" i="1"/>
  <c r="T55" i="1"/>
  <c r="Y55" i="1"/>
  <c r="Q56" i="1"/>
  <c r="T56" i="1"/>
  <c r="Y56" i="1"/>
  <c r="Q57" i="1"/>
  <c r="T57" i="1"/>
  <c r="Y57" i="1"/>
  <c r="Q58" i="1"/>
  <c r="T58" i="1"/>
  <c r="Y58" i="1"/>
  <c r="Q59" i="1"/>
  <c r="T59" i="1"/>
  <c r="Y59" i="1"/>
  <c r="Q60" i="1"/>
  <c r="T60" i="1"/>
  <c r="Y60" i="1"/>
  <c r="Q61" i="1"/>
  <c r="T61" i="1"/>
  <c r="Y61" i="1"/>
  <c r="Q62" i="1"/>
  <c r="T62" i="1"/>
  <c r="Y62" i="1"/>
  <c r="Q63" i="1"/>
  <c r="T63" i="1"/>
  <c r="Y63" i="1"/>
  <c r="Q64" i="1"/>
  <c r="T64" i="1"/>
  <c r="Y64" i="1"/>
  <c r="Q65" i="1"/>
  <c r="Y65" i="1"/>
  <c r="Q66" i="1"/>
  <c r="T66" i="1"/>
  <c r="Y66" i="1"/>
  <c r="Q67" i="1"/>
  <c r="Y67" i="1"/>
  <c r="Q68" i="1"/>
  <c r="T68" i="1"/>
  <c r="Y68" i="1"/>
  <c r="Q69" i="1"/>
  <c r="T69" i="1"/>
  <c r="Y69" i="1"/>
  <c r="Q70" i="1"/>
  <c r="T70" i="1"/>
  <c r="Y70" i="1"/>
  <c r="Q71" i="1"/>
  <c r="T71" i="1"/>
  <c r="Y71" i="1"/>
  <c r="Q72" i="1"/>
  <c r="T72" i="1"/>
  <c r="Y72" i="1"/>
  <c r="Q73" i="1"/>
  <c r="T73" i="1"/>
  <c r="Y73" i="1"/>
  <c r="Q74" i="1"/>
  <c r="T74" i="1"/>
  <c r="Y74" i="1"/>
  <c r="Q75" i="1"/>
  <c r="T75" i="1"/>
  <c r="Y75" i="1"/>
  <c r="Q76" i="1"/>
  <c r="T76" i="1"/>
  <c r="Y76" i="1"/>
  <c r="Q77" i="1"/>
  <c r="Y77" i="1"/>
  <c r="Q78" i="1"/>
  <c r="T78" i="1"/>
  <c r="Y78" i="1"/>
  <c r="Q79" i="1"/>
  <c r="T79" i="1"/>
  <c r="Y79" i="1"/>
  <c r="Q80" i="1"/>
  <c r="T80" i="1"/>
  <c r="Y80" i="1"/>
  <c r="Q81" i="1"/>
  <c r="Y81" i="1"/>
  <c r="Q82" i="1"/>
  <c r="T82" i="1"/>
  <c r="Y82" i="1"/>
  <c r="Q83" i="1"/>
  <c r="T83" i="1"/>
  <c r="Y83" i="1"/>
  <c r="Q84" i="1"/>
  <c r="Q85" i="1"/>
  <c r="T85" i="1"/>
  <c r="Y85" i="1"/>
  <c r="Q86" i="1"/>
  <c r="T86" i="1"/>
  <c r="Y86" i="1"/>
  <c r="Q87" i="1"/>
  <c r="T87" i="1"/>
  <c r="Y87" i="1"/>
  <c r="Q88" i="1"/>
  <c r="T88" i="1"/>
  <c r="Y88" i="1"/>
  <c r="Q89" i="1"/>
  <c r="T89" i="1"/>
  <c r="Y89" i="1"/>
  <c r="Q90" i="1"/>
  <c r="T90" i="1"/>
  <c r="Y90" i="1"/>
  <c r="Q91" i="1"/>
  <c r="T91" i="1"/>
  <c r="Y91" i="1"/>
  <c r="Q92" i="1"/>
  <c r="T92" i="1"/>
  <c r="Y92" i="1"/>
  <c r="Q93" i="1"/>
  <c r="T93" i="1"/>
  <c r="Y93" i="1"/>
  <c r="Q94" i="1"/>
  <c r="T94" i="1"/>
  <c r="Y94" i="1"/>
  <c r="Q95" i="1"/>
  <c r="Q96" i="1"/>
  <c r="Y96" i="1"/>
  <c r="Q97" i="1"/>
  <c r="T97" i="1"/>
  <c r="Y97" i="1"/>
  <c r="Q98" i="1"/>
  <c r="T98" i="1"/>
  <c r="Y98" i="1"/>
  <c r="Q99" i="1"/>
  <c r="T99" i="1"/>
  <c r="Y99" i="1"/>
  <c r="Q100" i="1"/>
  <c r="T100" i="1"/>
  <c r="Y100" i="1"/>
  <c r="Q101" i="1"/>
  <c r="Y101" i="1"/>
  <c r="Q102" i="1"/>
  <c r="T102" i="1"/>
  <c r="Y102" i="1"/>
  <c r="Q103" i="1"/>
  <c r="T103" i="1"/>
  <c r="Y103" i="1"/>
  <c r="Q104" i="1"/>
  <c r="T104" i="1"/>
  <c r="Y104" i="1"/>
  <c r="Q105" i="1"/>
  <c r="Y105" i="1"/>
  <c r="Q106" i="1"/>
  <c r="Q107" i="1"/>
  <c r="Q108" i="1"/>
  <c r="T108" i="1"/>
  <c r="Y108" i="1"/>
  <c r="T109" i="1"/>
  <c r="Q110" i="1"/>
  <c r="Q111" i="1"/>
  <c r="Q112" i="1"/>
  <c r="T112" i="1"/>
  <c r="Y112" i="1"/>
  <c r="Q113" i="1"/>
  <c r="T113" i="1"/>
  <c r="Y113" i="1"/>
  <c r="Q114" i="1"/>
  <c r="T114" i="1"/>
  <c r="Y114" i="1"/>
  <c r="Q115" i="1"/>
  <c r="T115" i="1"/>
  <c r="Y115" i="1"/>
  <c r="Q116" i="1"/>
  <c r="T116" i="1"/>
  <c r="Y116" i="1"/>
  <c r="Q117" i="1"/>
  <c r="T117" i="1"/>
  <c r="Y117" i="1"/>
  <c r="Q118" i="1"/>
  <c r="T118" i="1"/>
  <c r="Y118" i="1"/>
  <c r="Q119" i="1"/>
  <c r="T119" i="1"/>
  <c r="Y119" i="1"/>
  <c r="Q120" i="1"/>
  <c r="T120" i="1"/>
  <c r="Y120" i="1"/>
  <c r="Q121" i="1"/>
  <c r="T121" i="1"/>
  <c r="Y121" i="1"/>
  <c r="Q122" i="1"/>
  <c r="Q123" i="1"/>
  <c r="T123" i="1"/>
  <c r="Y123" i="1"/>
  <c r="Q124" i="1"/>
  <c r="T124" i="1"/>
  <c r="Y124" i="1"/>
  <c r="Q125" i="1"/>
  <c r="Q126" i="1"/>
  <c r="T126" i="1"/>
  <c r="Y126" i="1"/>
  <c r="Q127" i="1"/>
  <c r="T127" i="1"/>
  <c r="Y127" i="1"/>
  <c r="Q128" i="1"/>
  <c r="T128" i="1"/>
  <c r="Y128" i="1"/>
  <c r="Q129" i="1"/>
  <c r="T129" i="1"/>
  <c r="Y129" i="1"/>
  <c r="Q130" i="1"/>
  <c r="T130" i="1"/>
  <c r="Y130" i="1"/>
  <c r="Q131" i="1"/>
  <c r="Y131" i="1"/>
  <c r="Q132" i="1"/>
  <c r="T132" i="1"/>
  <c r="Y132" i="1"/>
  <c r="Q133" i="1"/>
  <c r="T133" i="1"/>
  <c r="Y133" i="1"/>
  <c r="Q134" i="1"/>
  <c r="T134" i="1"/>
  <c r="Y134" i="1"/>
  <c r="Q135" i="1"/>
  <c r="T135" i="1"/>
  <c r="Y135" i="1"/>
  <c r="Q136" i="1"/>
  <c r="T136" i="1"/>
  <c r="Y136" i="1"/>
  <c r="Q137" i="1"/>
  <c r="T137" i="1"/>
  <c r="Y137" i="1"/>
  <c r="Q138" i="1"/>
  <c r="T138" i="1"/>
  <c r="Y138" i="1"/>
  <c r="Q139" i="1"/>
  <c r="T139" i="1"/>
  <c r="Y139" i="1"/>
  <c r="Q140" i="1"/>
  <c r="T140" i="1"/>
  <c r="Y140" i="1"/>
  <c r="Q141" i="1"/>
  <c r="T141" i="1"/>
  <c r="Y141" i="1"/>
  <c r="Q142" i="1"/>
  <c r="T142" i="1"/>
  <c r="Y142" i="1"/>
  <c r="Q143" i="1"/>
  <c r="Y143" i="1"/>
  <c r="T144" i="1"/>
  <c r="Q145" i="1"/>
  <c r="T145" i="1"/>
  <c r="Y145" i="1"/>
  <c r="Q146" i="1"/>
  <c r="T146" i="1"/>
  <c r="Y146" i="1"/>
  <c r="Q147" i="1"/>
  <c r="T147" i="1"/>
  <c r="Y147" i="1"/>
  <c r="Q148" i="1"/>
  <c r="T148" i="1"/>
  <c r="Y148" i="1"/>
  <c r="Q149" i="1"/>
  <c r="T149" i="1"/>
  <c r="Y149" i="1"/>
  <c r="Q150" i="1"/>
  <c r="T150" i="1"/>
  <c r="Y150" i="1"/>
  <c r="Q151" i="1"/>
  <c r="T151" i="1"/>
  <c r="Y151" i="1"/>
  <c r="Q152" i="1"/>
  <c r="T152" i="1"/>
  <c r="Y152" i="1"/>
  <c r="Q153" i="1"/>
  <c r="T153" i="1"/>
  <c r="Y153" i="1"/>
  <c r="Q154" i="1"/>
  <c r="T154" i="1"/>
  <c r="Y154" i="1"/>
  <c r="Q155" i="1"/>
  <c r="T155" i="1"/>
  <c r="Y155" i="1"/>
  <c r="Q156" i="1"/>
  <c r="T156" i="1"/>
  <c r="Y156" i="1"/>
  <c r="Q157" i="1"/>
  <c r="T157" i="1"/>
  <c r="Y157" i="1"/>
  <c r="Q158" i="1"/>
  <c r="T158" i="1"/>
  <c r="Y158" i="1"/>
  <c r="Q159" i="1"/>
  <c r="T159" i="1"/>
  <c r="Y159" i="1"/>
  <c r="Q160" i="1"/>
  <c r="T160" i="1"/>
  <c r="Y160" i="1"/>
  <c r="Q161" i="1"/>
  <c r="T161" i="1"/>
  <c r="Y161" i="1"/>
  <c r="T162" i="1"/>
  <c r="Q163" i="1"/>
  <c r="T163" i="1"/>
  <c r="Y163" i="1"/>
  <c r="Q164" i="1"/>
  <c r="Y164" i="1"/>
  <c r="Q165" i="1"/>
  <c r="T165" i="1"/>
  <c r="Y165" i="1"/>
  <c r="Q166" i="1"/>
  <c r="T166" i="1"/>
  <c r="Y166" i="1"/>
  <c r="Q167" i="1"/>
  <c r="T167" i="1"/>
  <c r="Y167" i="1"/>
  <c r="Q168" i="1"/>
  <c r="T168" i="1"/>
  <c r="Y168" i="1"/>
  <c r="Q169" i="1"/>
  <c r="T169" i="1"/>
  <c r="Y169" i="1"/>
  <c r="Q170" i="1"/>
  <c r="T170" i="1"/>
  <c r="Y170" i="1"/>
  <c r="Q171" i="1"/>
  <c r="T171" i="1"/>
  <c r="Y171" i="1"/>
  <c r="Q172" i="1"/>
  <c r="T172" i="1"/>
  <c r="Y172" i="1"/>
  <c r="Q173" i="1"/>
  <c r="T173" i="1"/>
  <c r="Y173" i="1"/>
  <c r="Q174" i="1"/>
  <c r="T174" i="1"/>
  <c r="Y174" i="1"/>
  <c r="Q175" i="1"/>
  <c r="T175" i="1"/>
  <c r="Y175" i="1"/>
  <c r="Q176" i="1"/>
  <c r="T176" i="1"/>
  <c r="P181" i="1"/>
  <c r="S181" i="1"/>
  <c r="P187" i="1"/>
  <c r="S187" i="1"/>
  <c r="X187" i="1"/>
  <c r="P188" i="1"/>
  <c r="S188" i="1"/>
  <c r="P189" i="1"/>
  <c r="S189" i="1"/>
</calcChain>
</file>

<file path=xl/sharedStrings.xml><?xml version="1.0" encoding="utf-8"?>
<sst xmlns="http://schemas.openxmlformats.org/spreadsheetml/2006/main" count="813" uniqueCount="246">
  <si>
    <t>ОТЧЕТ ОБ ИСПОЛНЕНИИ БЮДЖЕТА</t>
  </si>
  <si>
    <t>КОДЫ</t>
  </si>
  <si>
    <t xml:space="preserve">Форма по ОКУД </t>
  </si>
  <si>
    <t>0503117</t>
  </si>
  <si>
    <t>на 1 января 2024 г.</t>
  </si>
  <si>
    <t xml:space="preserve">Дата </t>
  </si>
  <si>
    <t>Наименование финансового органа</t>
  </si>
  <si>
    <t>АДМИНИСТРАЦИЯ МАРЬЯНСКОГО СЕЛЬСКОГО ПОСЕЛЕНИЯ КРАСНОАРМЕЙСКОГО РАЙОНА</t>
  </si>
  <si>
    <t xml:space="preserve">по ОКПО </t>
  </si>
  <si>
    <t xml:space="preserve">Глава по БК </t>
  </si>
  <si>
    <t/>
  </si>
  <si>
    <t>Наименование публично-правового образования</t>
  </si>
  <si>
    <t>Бюджет Марьянского сельского поселения</t>
  </si>
  <si>
    <t xml:space="preserve">по ОКТМО </t>
  </si>
  <si>
    <t>03623412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</si>
  <si>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</si>
  <si>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</si>
  <si>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</si>
  <si>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</si>
  <si>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</si>
  <si>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</si>
  <si>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</si>
  <si>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</si>
  <si>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</si>
  <si>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</si>
  <si>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</si>
  <si>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</si>
  <si>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</si>
  <si>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</si>
  <si>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</si>
  <si>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</si>
  <si>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</si>
  <si>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</si>
  <si>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</si>
  <si>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</si>
  <si>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</si>
  <si>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</si>
  <si>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</si>
  <si>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100 10302231 01 0000 110</t>
  </si>
  <si>
    <t>-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</si>
  <si>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</si>
  <si>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</si>
  <si>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</si>
  <si>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</si>
  <si>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</si>
  <si>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</si>
  <si>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</si>
  <si>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</si>
  <si>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</si>
  <si>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</si>
  <si>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</si>
  <si>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</si>
  <si>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</si>
  <si>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</si>
  <si>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</si>
  <si>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</si>
  <si>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</si>
  <si>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182 10102140 01 0000 110</t>
  </si>
  <si>
    <t>182 10302231 01 0000 110</t>
  </si>
  <si>
    <t>182 10302241 01 0000 110</t>
  </si>
  <si>
    <t>182 10302251 01 0000 110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</si>
  <si>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</si>
  <si>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</si>
  <si>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</si>
  <si>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</si>
  <si>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</si>
  <si>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</si>
  <si>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</si>
  <si>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</si>
  <si>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</si>
  <si>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</si>
  <si>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</si>
  <si>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992 11105025 10 0000 120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</si>
  <si>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</si>
  <si>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992 11105035 10 0000 120</t>
  </si>
  <si>
    <t>Прочие доходы от компенсации затрат бюджетов сельских поселений</t>
  </si>
  <si>
    <t>992 11302995 10 0000 130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</si>
  <si>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</si>
  <si>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992 11607010 10 0000 140</t>
  </si>
  <si>
    <t>Невыясненные поступления, зачисляемые в бюджеты сельских поселений</t>
  </si>
  <si>
    <t>992 11701050 10 0000 180</t>
  </si>
  <si>
    <t>Инициативные платежи, зачисляемые в бюджеты сельских поселений</t>
  </si>
  <si>
    <t>992 11715030 10 0000 150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</si>
  <si>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</si>
  <si>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992 20215001 10 0000 150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</si>
  <si>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</si>
  <si>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992 20220077 10 0000 150</t>
  </si>
  <si>
    <t>Субвенции бюджетам сельских поселений на выполнение передаваемых полномочий субъектов Российской Федерации</t>
  </si>
  <si>
    <t>992 20230024 10 0000 150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</si>
  <si>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</si>
  <si>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</si>
  <si>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</si>
  <si>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992 20240014 10 0000 150</t>
  </si>
  <si>
    <t>Прочие межбюджетные трансферты, передаваемые бюджетам сельских поселений</t>
  </si>
  <si>
    <t>992 20249999 10 0000 150</t>
  </si>
  <si>
    <t>Прочие безвозмездные поступления в бюджеты сельских поселений</t>
  </si>
  <si>
    <t>992 20705030 10 0000 150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</si>
  <si>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</si>
  <si>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992 20805000 10 0000 150</t>
  </si>
  <si>
    <t>2. Расходы бюджета</t>
  </si>
  <si>
    <t>Код расхода
по бюджетной
классификации</t>
  </si>
  <si>
    <t>КОСГУ</t>
  </si>
  <si>
    <t>7</t>
  </si>
  <si>
    <t>Расходы бюджета всего, в т.ч.</t>
  </si>
  <si>
    <t>200</t>
  </si>
  <si>
    <t>Заработная плата</t>
  </si>
  <si>
    <t>992 0102 5010000190 121</t>
  </si>
  <si>
    <t>211</t>
  </si>
  <si>
    <t>Социальные пособия и компенсации персоналу в денежной форме</t>
  </si>
  <si>
    <t>266</t>
  </si>
  <si>
    <t>Начисления на выплаты по оплате труда</t>
  </si>
  <si>
    <t>992 0102 5010000190 129</t>
  </si>
  <si>
    <t>213</t>
  </si>
  <si>
    <t>992 0104 5110000190 121</t>
  </si>
  <si>
    <t>992 0104 5110000190 129</t>
  </si>
  <si>
    <t>Увеличение стоимости прочих материальных запасов</t>
  </si>
  <si>
    <t>992 0104 5120060190 244</t>
  </si>
  <si>
    <t>346</t>
  </si>
  <si>
    <t>Перечисления текущего характера другим бюджетам бюджетной системы Российской Федерации</t>
  </si>
  <si>
    <t>992 0104 6910020400 540</t>
  </si>
  <si>
    <t>251</t>
  </si>
  <si>
    <t>992 0106 6810020600 540</t>
  </si>
  <si>
    <t>992 0106 6820020600 540</t>
  </si>
  <si>
    <t>Иные выплаты текущего характера организациям</t>
  </si>
  <si>
    <t>992 0107 9910010050 880</t>
  </si>
  <si>
    <t>297</t>
  </si>
  <si>
    <t>Прочие работы, услуги</t>
  </si>
  <si>
    <t>992 0113 0110110030 244</t>
  </si>
  <si>
    <t>226</t>
  </si>
  <si>
    <t>Услуги связи</t>
  </si>
  <si>
    <t>992 0113 0120210030 244</t>
  </si>
  <si>
    <t>221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</si>
  <si>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</si>
  <si>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</si>
  <si>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</si>
  <si>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</si>
  <si>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992 0113 0120210140 244</t>
  </si>
  <si>
    <t>Транспортные услуги</t>
  </si>
  <si>
    <t>992 0113 0130210030 244</t>
  </si>
  <si>
    <t>222</t>
  </si>
  <si>
    <t>Коммунальные услуги</t>
  </si>
  <si>
    <t>223</t>
  </si>
  <si>
    <t>Увеличение стоимости горюче-смазочных материалов</t>
  </si>
  <si>
    <t>343</t>
  </si>
  <si>
    <t>992 0113 0130210030 247</t>
  </si>
  <si>
    <t>Налоги, пошлины и сборы</t>
  </si>
  <si>
    <t>992 0113 0130210030 851</t>
  </si>
  <si>
    <t>291</t>
  </si>
  <si>
    <t>992 0113 0130210030 852</t>
  </si>
  <si>
    <t>Штрафы за нарушение законодательства о налогах и сборах, законодательства о страховых взносах</t>
  </si>
  <si>
    <t>992 0113 0130210030 853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</si>
  <si>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</si>
  <si>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</si>
  <si>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</si>
  <si>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992 0113 0200110200 244</t>
  </si>
  <si>
    <t>Увеличение стоимости прочих материальных запасов однократного применения</t>
  </si>
  <si>
    <t>992 0113 0900110370 244</t>
  </si>
  <si>
    <t>349</t>
  </si>
  <si>
    <t>992 0113 1000110040 244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</si>
  <si>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</si>
  <si>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992 0113 1000110040 633</t>
  </si>
  <si>
    <t>246</t>
  </si>
  <si>
    <t>992 0113 1000110060 244</t>
  </si>
  <si>
    <t>992 0113 1000110060 360</t>
  </si>
  <si>
    <t>992 0203 5120051180 121</t>
  </si>
  <si>
    <t>992 0203 5120051180 129</t>
  </si>
  <si>
    <t>992 0310 0320210510 244</t>
  </si>
  <si>
    <t>992 0310 5410020500 540</t>
  </si>
  <si>
    <t>992 0314 0340410040 244</t>
  </si>
  <si>
    <t>992 0314 0340410120 244</t>
  </si>
  <si>
    <t>992 0314 0350510080 244</t>
  </si>
  <si>
    <t>992 0405 1300110520 244</t>
  </si>
  <si>
    <t>992 0409 0420210130 244</t>
  </si>
  <si>
    <t>992 0412 0410110440 244</t>
  </si>
  <si>
    <t>992 0502 0600110470 244</t>
  </si>
  <si>
    <t>992 0502 0600110480 244</t>
  </si>
  <si>
    <t>992 0502 0600110480 414</t>
  </si>
  <si>
    <t>992 0502 0600110480 813</t>
  </si>
  <si>
    <t>Безвозмездные перечисления капитального характера государственным (муниципальным) учреждениям</t>
  </si>
  <si>
    <t>281</t>
  </si>
  <si>
    <t>Субсидии юридическим лицам на осуществление капитальных вложений в объекты недвижимого имущества</t>
  </si>
  <si>
    <t>992 0502 0600110480 815</t>
  </si>
  <si>
    <t>992 0502 06001S0330 244</t>
  </si>
  <si>
    <t>992 0502 06001S0330 414</t>
  </si>
  <si>
    <t>992 0503 0500110630 244</t>
  </si>
  <si>
    <t>992 0503 0500110630 247</t>
  </si>
  <si>
    <t>992 0503 0500110650 244</t>
  </si>
  <si>
    <t>992 0503 0500110660 244</t>
  </si>
  <si>
    <t>992 0503 0500110670 244</t>
  </si>
  <si>
    <t>992 0503 0500111001 244</t>
  </si>
  <si>
    <t>992 0503 0500120700 244</t>
  </si>
  <si>
    <t>992 0503 1510110550 244</t>
  </si>
  <si>
    <t>992 0707 0700110280 244</t>
  </si>
  <si>
    <t>992 0801 0810100590 111</t>
  </si>
  <si>
    <t>Прочие несоциальные выплаты персоналу в денежной форме</t>
  </si>
  <si>
    <t>992 0801 0810100590 112</t>
  </si>
  <si>
    <t>212</t>
  </si>
  <si>
    <t>992 0801 0810100590 119</t>
  </si>
  <si>
    <t>992 0801 0810100590 244</t>
  </si>
  <si>
    <t>Увеличение стоимости строительных материалов</t>
  </si>
  <si>
    <t>344</t>
  </si>
  <si>
    <t>992 0801 0810100590 247</t>
  </si>
  <si>
    <t>992 0801 0810100590 853</t>
  </si>
  <si>
    <t>992 0801 0810109010 244</t>
  </si>
  <si>
    <t>992 0801 0810110750 111</t>
  </si>
  <si>
    <t>992 0801 0810110750 119</t>
  </si>
  <si>
    <t>992 0801 0810162980 244</t>
  </si>
  <si>
    <t>992 0801 0820200590 111</t>
  </si>
  <si>
    <t>992 0801 0820200590 112</t>
  </si>
  <si>
    <t>992 0801 0820200590 119</t>
  </si>
  <si>
    <t>992 0801 0820200590 244</t>
  </si>
  <si>
    <t>992 0801 0820200590 853</t>
  </si>
  <si>
    <t>992 0801 0820209010 244</t>
  </si>
  <si>
    <t>992 0801 0820210750 111</t>
  </si>
  <si>
    <t>992 0801 0820210750 119</t>
  </si>
  <si>
    <t>992 0801 0830310090 244</t>
  </si>
  <si>
    <t>Пенсии, пособия, выплачиваемые работодателями, нанимателями бывшим работникам в денежной форме</t>
  </si>
  <si>
    <t>992 1001 1000210390 312</t>
  </si>
  <si>
    <t>264</t>
  </si>
  <si>
    <t>992 1102 1100110310 244</t>
  </si>
  <si>
    <t>992 1102 1100110320 244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</si>
  <si>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</si>
  <si>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</si>
  <si>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</si>
  <si>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</si>
  <si>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</si>
  <si>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</si>
  <si>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</si>
  <si>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</si>
  <si>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</si>
  <si>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</si>
  <si>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</si>
  <si>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</si>
  <si>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</si>
  <si>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</si>
  <si>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</si>
  <si>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</si>
  <si>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100 01050201 10 0000 510</t>
  </si>
  <si>
    <t xml:space="preserve">     уменьшение остатков средств</t>
  </si>
  <si>
    <t>720</t>
  </si>
  <si>
    <t>100 01050201 10 0000 610</t>
  </si>
  <si>
    <t>(подпись)</t>
  </si>
  <si>
    <t>(расшифровка подписи)</t>
  </si>
  <si>
    <t>Стаценко А.В.</t>
  </si>
  <si>
    <t>Тимофеева А.Б.</t>
  </si>
  <si>
    <t xml:space="preserve">   28 июня 2024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</si>
</sst>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center" wrapText="1"/>
    </xf>
    <xf numFmtId="0" fontId="5" fillId="2" borderId="3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4" fillId="2" borderId="15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197"/>
  <sheetViews>
    <sheetView tabSelected="1" workbookViewId="0">
      <selection activeCell="A197" sqref="A197:G197"/>
    </sheetView>
  </sheetViews>
  <sheetFormatPr defaultRowHeight="12.75" x14ac:dyDescent="0.2"/>
  <cols>
    <col min="1" max="1" width="13.7109375" style="1" customWidth="1"/>
    <col min="2" max="2" width="2.7109375" style="1" customWidth="1"/>
    <col min="3" max="3" width="13.7109375" style="1" customWidth="1"/>
    <col min="4" max="4" width="9.7109375" style="1" customWidth="1"/>
    <col min="5" max="5" width="6.7109375" style="1" customWidth="1"/>
    <col min="6" max="6" width="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3.7109375" style="1" customWidth="1"/>
    <col min="11" max="11" width="2.7109375" style="1" customWidth="1"/>
    <col min="12" max="12" width="1.7109375" style="1" customWidth="1"/>
    <col min="13" max="13" width="2.7109375" style="1" customWidth="1"/>
    <col min="14" max="14" width="17.7109375" style="1" customWidth="1"/>
    <col min="15" max="15" width="4.7109375" style="1" customWidth="1"/>
    <col min="16" max="17" width="2.7109375" style="1" customWidth="1"/>
    <col min="18" max="18" width="12.7109375" style="1" customWidth="1"/>
    <col min="19" max="19" width="1.7109375" style="1" customWidth="1"/>
    <col min="20" max="20" width="6.7109375" style="1" customWidth="1"/>
    <col min="21" max="21" width="3.7109375" style="1" customWidth="1"/>
    <col min="22" max="22" width="1.7109375" style="1" customWidth="1"/>
    <col min="23" max="23" width="4.7109375" style="1" customWidth="1"/>
    <col min="24" max="24" width="1.7109375" style="1" customWidth="1"/>
    <col min="25" max="25" width="3.7109375" style="1" customWidth="1"/>
    <col min="26" max="26" width="12.7109375" style="1" customWidth="1"/>
  </cols>
  <sheetData>
    <row r="1" spans="1:26" s="1" customFormat="1" ht="14.1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2" t="s">
        <v>1</v>
      </c>
    </row>
    <row r="2" spans="1:26" s="1" customFormat="1" ht="14.1" customHeight="1" x14ac:dyDescent="0.2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3" t="s">
        <v>3</v>
      </c>
    </row>
    <row r="3" spans="1:26" s="1" customFormat="1" ht="14.1" customHeight="1" x14ac:dyDescent="0.2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0" t="s">
        <v>5</v>
      </c>
      <c r="X3" s="60"/>
      <c r="Y3" s="60"/>
      <c r="Z3" s="4">
        <v>45292</v>
      </c>
    </row>
    <row r="4" spans="1:26" s="1" customFormat="1" ht="14.1" customHeight="1" x14ac:dyDescent="0.2">
      <c r="A4" s="8" t="s">
        <v>6</v>
      </c>
      <c r="B4" s="8"/>
      <c r="C4" s="8"/>
      <c r="D4" s="59" t="s">
        <v>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 t="s">
        <v>8</v>
      </c>
      <c r="W4" s="60"/>
      <c r="X4" s="60"/>
      <c r="Y4" s="60"/>
      <c r="Z4" s="6" t="s">
        <v>10</v>
      </c>
    </row>
    <row r="5" spans="1:26" s="1" customFormat="1" ht="14.1" customHeight="1" x14ac:dyDescent="0.2">
      <c r="A5" s="8"/>
      <c r="B5" s="8"/>
      <c r="C5" s="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9</v>
      </c>
      <c r="W5" s="60"/>
      <c r="X5" s="60"/>
      <c r="Y5" s="60"/>
      <c r="Z5" s="6" t="s">
        <v>10</v>
      </c>
    </row>
    <row r="6" spans="1:26" s="1" customFormat="1" ht="14.1" customHeight="1" x14ac:dyDescent="0.2">
      <c r="A6" s="8" t="s">
        <v>11</v>
      </c>
      <c r="B6" s="8"/>
      <c r="C6" s="8"/>
      <c r="D6" s="8"/>
      <c r="E6" s="59" t="s">
        <v>12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 t="s">
        <v>13</v>
      </c>
      <c r="W6" s="60"/>
      <c r="X6" s="60"/>
      <c r="Y6" s="60"/>
      <c r="Z6" s="6" t="s">
        <v>14</v>
      </c>
    </row>
    <row r="7" spans="1:26" s="1" customFormat="1" ht="14.1" customHeight="1" x14ac:dyDescent="0.2">
      <c r="A7" s="5" t="s">
        <v>15</v>
      </c>
      <c r="B7" s="8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6" t="s">
        <v>10</v>
      </c>
    </row>
    <row r="8" spans="1:26" s="1" customFormat="1" ht="14.1" customHeight="1" x14ac:dyDescent="0.2">
      <c r="A8" s="8" t="s">
        <v>17</v>
      </c>
      <c r="B8" s="8"/>
      <c r="C8" s="8" t="s">
        <v>18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0" t="s">
        <v>19</v>
      </c>
      <c r="V8" s="60"/>
      <c r="W8" s="60"/>
      <c r="X8" s="60"/>
      <c r="Y8" s="60"/>
      <c r="Z8" s="7" t="s">
        <v>20</v>
      </c>
    </row>
    <row r="9" spans="1:26" s="1" customFormat="1" ht="14.1" customHeight="1" x14ac:dyDescent="0.2">
      <c r="A9" s="42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1" customFormat="1" ht="35.1" customHeight="1" x14ac:dyDescent="0.2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 t="s">
        <v>23</v>
      </c>
      <c r="K10" s="43"/>
      <c r="L10" s="43"/>
      <c r="M10" s="43" t="s">
        <v>24</v>
      </c>
      <c r="N10" s="43"/>
      <c r="O10" s="43"/>
      <c r="P10" s="44" t="s">
        <v>25</v>
      </c>
      <c r="Q10" s="44"/>
      <c r="R10" s="44"/>
      <c r="S10" s="44" t="s">
        <v>26</v>
      </c>
      <c r="T10" s="44"/>
      <c r="U10" s="44"/>
      <c r="V10" s="44"/>
      <c r="W10" s="44"/>
      <c r="X10" s="45" t="s">
        <v>27</v>
      </c>
      <c r="Y10" s="45"/>
      <c r="Z10" s="45"/>
    </row>
    <row r="11" spans="1:26" s="1" customFormat="1" ht="12.95" customHeight="1" x14ac:dyDescent="0.2">
      <c r="A11" s="40" t="s">
        <v>28</v>
      </c>
      <c r="B11" s="40"/>
      <c r="C11" s="40"/>
      <c r="D11" s="40"/>
      <c r="E11" s="40"/>
      <c r="F11" s="40"/>
      <c r="G11" s="40"/>
      <c r="H11" s="40"/>
      <c r="I11" s="40"/>
      <c r="J11" s="40" t="s">
        <v>29</v>
      </c>
      <c r="K11" s="40"/>
      <c r="L11" s="40"/>
      <c r="M11" s="40" t="s">
        <v>30</v>
      </c>
      <c r="N11" s="40"/>
      <c r="O11" s="40"/>
      <c r="P11" s="41" t="s">
        <v>31</v>
      </c>
      <c r="Q11" s="41"/>
      <c r="R11" s="41"/>
      <c r="S11" s="41" t="s">
        <v>32</v>
      </c>
      <c r="T11" s="41"/>
      <c r="U11" s="41"/>
      <c r="V11" s="41"/>
      <c r="W11" s="41"/>
      <c r="X11" s="33" t="s">
        <v>33</v>
      </c>
      <c r="Y11" s="33"/>
      <c r="Z11" s="33"/>
    </row>
    <row r="12" spans="1:26" s="1" customFormat="1" ht="14.1" customHeight="1" x14ac:dyDescent="0.2">
      <c r="A12" s="34" t="s">
        <v>34</v>
      </c>
      <c r="B12" s="34"/>
      <c r="C12" s="34"/>
      <c r="D12" s="34"/>
      <c r="E12" s="34"/>
      <c r="F12" s="34"/>
      <c r="G12" s="34"/>
      <c r="H12" s="34"/>
      <c r="I12" s="34"/>
      <c r="J12" s="35" t="s">
        <v>35</v>
      </c>
      <c r="K12" s="35"/>
      <c r="L12" s="35"/>
      <c r="M12" s="35" t="s">
        <v>36</v>
      </c>
      <c r="N12" s="35"/>
      <c r="O12" s="35"/>
      <c r="P12" s="37">
        <f>153703695.54</f>
        <v>153703695.53999999</v>
      </c>
      <c r="Q12" s="37"/>
      <c r="R12" s="37"/>
      <c r="S12" s="37">
        <f>102550246.74</f>
        <v>102550246.73999999</v>
      </c>
      <c r="T12" s="37"/>
      <c r="U12" s="37"/>
      <c r="V12" s="37"/>
      <c r="W12" s="37"/>
      <c r="X12" s="54">
        <f>51153448.8</f>
        <v>51153448.799999997</v>
      </c>
      <c r="Y12" s="54"/>
      <c r="Z12" s="54"/>
    </row>
    <row r="13" spans="1:26" s="1" customFormat="1" ht="66" customHeight="1" x14ac:dyDescent="0.2">
      <c r="A13" s="25" t="s">
        <v>37</v>
      </c>
      <c r="B13" s="25"/>
      <c r="C13" s="25"/>
      <c r="D13" s="25"/>
      <c r="E13" s="25"/>
      <c r="F13" s="25"/>
      <c r="G13" s="25"/>
      <c r="H13" s="25"/>
      <c r="I13" s="25"/>
      <c r="J13" s="27" t="s">
        <v>35</v>
      </c>
      <c r="K13" s="27"/>
      <c r="L13" s="27"/>
      <c r="M13" s="27" t="s">
        <v>38</v>
      </c>
      <c r="N13" s="27"/>
      <c r="O13" s="27"/>
      <c r="P13" s="56">
        <f>0</f>
        <v>0</v>
      </c>
      <c r="Q13" s="56"/>
      <c r="R13" s="56"/>
      <c r="S13" s="29" t="s">
        <v>39</v>
      </c>
      <c r="T13" s="29"/>
      <c r="U13" s="29"/>
      <c r="V13" s="29"/>
      <c r="W13" s="29"/>
      <c r="X13" s="57" t="s">
        <v>39</v>
      </c>
      <c r="Y13" s="57"/>
      <c r="Z13" s="57"/>
    </row>
    <row r="14" spans="1:26" s="1" customFormat="1" ht="75.9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  <c r="I14" s="25"/>
      <c r="J14" s="27" t="s">
        <v>35</v>
      </c>
      <c r="K14" s="27"/>
      <c r="L14" s="27"/>
      <c r="M14" s="27" t="s">
        <v>41</v>
      </c>
      <c r="N14" s="27"/>
      <c r="O14" s="27"/>
      <c r="P14" s="56">
        <f>0</f>
        <v>0</v>
      </c>
      <c r="Q14" s="56"/>
      <c r="R14" s="56"/>
      <c r="S14" s="29" t="s">
        <v>39</v>
      </c>
      <c r="T14" s="29"/>
      <c r="U14" s="29"/>
      <c r="V14" s="29"/>
      <c r="W14" s="29"/>
      <c r="X14" s="57" t="s">
        <v>39</v>
      </c>
      <c r="Y14" s="57"/>
      <c r="Z14" s="57"/>
    </row>
    <row r="15" spans="1:26" s="1" customFormat="1" ht="66" customHeight="1" x14ac:dyDescent="0.2">
      <c r="A15" s="25" t="s">
        <v>42</v>
      </c>
      <c r="B15" s="25"/>
      <c r="C15" s="25"/>
      <c r="D15" s="25"/>
      <c r="E15" s="25"/>
      <c r="F15" s="25"/>
      <c r="G15" s="25"/>
      <c r="H15" s="25"/>
      <c r="I15" s="25"/>
      <c r="J15" s="27" t="s">
        <v>35</v>
      </c>
      <c r="K15" s="27"/>
      <c r="L15" s="27"/>
      <c r="M15" s="27" t="s">
        <v>43</v>
      </c>
      <c r="N15" s="27"/>
      <c r="O15" s="27"/>
      <c r="P15" s="56">
        <f>0</f>
        <v>0</v>
      </c>
      <c r="Q15" s="56"/>
      <c r="R15" s="56"/>
      <c r="S15" s="29" t="s">
        <v>39</v>
      </c>
      <c r="T15" s="29"/>
      <c r="U15" s="29"/>
      <c r="V15" s="29"/>
      <c r="W15" s="29"/>
      <c r="X15" s="57" t="s">
        <v>39</v>
      </c>
      <c r="Y15" s="57"/>
      <c r="Z15" s="57"/>
    </row>
    <row r="16" spans="1:26" s="1" customFormat="1" ht="54.95" customHeight="1" x14ac:dyDescent="0.2">
      <c r="A16" s="25" t="s">
        <v>44</v>
      </c>
      <c r="B16" s="25"/>
      <c r="C16" s="25"/>
      <c r="D16" s="25"/>
      <c r="E16" s="25"/>
      <c r="F16" s="25"/>
      <c r="G16" s="25"/>
      <c r="H16" s="25"/>
      <c r="I16" s="25"/>
      <c r="J16" s="27" t="s">
        <v>35</v>
      </c>
      <c r="K16" s="27"/>
      <c r="L16" s="27"/>
      <c r="M16" s="27" t="s">
        <v>45</v>
      </c>
      <c r="N16" s="27"/>
      <c r="O16" s="27"/>
      <c r="P16" s="56">
        <f>39682000</f>
        <v>39682000</v>
      </c>
      <c r="Q16" s="56"/>
      <c r="R16" s="56"/>
      <c r="S16" s="56">
        <f>49775270.26</f>
        <v>49775270.259999998</v>
      </c>
      <c r="T16" s="56"/>
      <c r="U16" s="56"/>
      <c r="V16" s="56"/>
      <c r="W16" s="56"/>
      <c r="X16" s="57" t="s">
        <v>39</v>
      </c>
      <c r="Y16" s="57"/>
      <c r="Z16" s="57"/>
    </row>
    <row r="17" spans="1:26" s="1" customFormat="1" ht="66" customHeight="1" x14ac:dyDescent="0.2">
      <c r="A17" s="25" t="s">
        <v>46</v>
      </c>
      <c r="B17" s="25"/>
      <c r="C17" s="25"/>
      <c r="D17" s="25"/>
      <c r="E17" s="25"/>
      <c r="F17" s="25"/>
      <c r="G17" s="25"/>
      <c r="H17" s="25"/>
      <c r="I17" s="25"/>
      <c r="J17" s="27" t="s">
        <v>35</v>
      </c>
      <c r="K17" s="27"/>
      <c r="L17" s="27"/>
      <c r="M17" s="27" t="s">
        <v>47</v>
      </c>
      <c r="N17" s="27"/>
      <c r="O17" s="27"/>
      <c r="P17" s="56">
        <f>138000</f>
        <v>138000</v>
      </c>
      <c r="Q17" s="56"/>
      <c r="R17" s="56"/>
      <c r="S17" s="56">
        <f>130434.76</f>
        <v>130434.76</v>
      </c>
      <c r="T17" s="56"/>
      <c r="U17" s="56"/>
      <c r="V17" s="56"/>
      <c r="W17" s="56"/>
      <c r="X17" s="58">
        <f>7565.24</f>
        <v>7565.24</v>
      </c>
      <c r="Y17" s="58"/>
      <c r="Z17" s="58"/>
    </row>
    <row r="18" spans="1:26" s="1" customFormat="1" ht="24" customHeight="1" x14ac:dyDescent="0.2">
      <c r="A18" s="25" t="s">
        <v>48</v>
      </c>
      <c r="B18" s="25"/>
      <c r="C18" s="25"/>
      <c r="D18" s="25"/>
      <c r="E18" s="25"/>
      <c r="F18" s="25"/>
      <c r="G18" s="25"/>
      <c r="H18" s="25"/>
      <c r="I18" s="25"/>
      <c r="J18" s="27" t="s">
        <v>35</v>
      </c>
      <c r="K18" s="27"/>
      <c r="L18" s="27"/>
      <c r="M18" s="27" t="s">
        <v>49</v>
      </c>
      <c r="N18" s="27"/>
      <c r="O18" s="27"/>
      <c r="P18" s="56">
        <f>521000</f>
        <v>521000</v>
      </c>
      <c r="Q18" s="56"/>
      <c r="R18" s="56"/>
      <c r="S18" s="56">
        <f>526161.56</f>
        <v>526161.56000000006</v>
      </c>
      <c r="T18" s="56"/>
      <c r="U18" s="56"/>
      <c r="V18" s="56"/>
      <c r="W18" s="56"/>
      <c r="X18" s="57" t="s">
        <v>39</v>
      </c>
      <c r="Y18" s="57"/>
      <c r="Z18" s="57"/>
    </row>
    <row r="19" spans="1:26" s="1" customFormat="1" ht="54.95" customHeight="1" x14ac:dyDescent="0.2">
      <c r="A19" s="25" t="s">
        <v>50</v>
      </c>
      <c r="B19" s="25"/>
      <c r="C19" s="25"/>
      <c r="D19" s="25"/>
      <c r="E19" s="25"/>
      <c r="F19" s="25"/>
      <c r="G19" s="25"/>
      <c r="H19" s="25"/>
      <c r="I19" s="25"/>
      <c r="J19" s="27" t="s">
        <v>35</v>
      </c>
      <c r="K19" s="27"/>
      <c r="L19" s="27"/>
      <c r="M19" s="27" t="s">
        <v>51</v>
      </c>
      <c r="N19" s="27"/>
      <c r="O19" s="27"/>
      <c r="P19" s="56">
        <f>30000</f>
        <v>30000</v>
      </c>
      <c r="Q19" s="56"/>
      <c r="R19" s="56"/>
      <c r="S19" s="56">
        <f>68440.5</f>
        <v>68440.5</v>
      </c>
      <c r="T19" s="56"/>
      <c r="U19" s="56"/>
      <c r="V19" s="56"/>
      <c r="W19" s="56"/>
      <c r="X19" s="57" t="s">
        <v>39</v>
      </c>
      <c r="Y19" s="57"/>
      <c r="Z19" s="57"/>
    </row>
    <row r="20" spans="1:26" s="1" customFormat="1" ht="75.95" customHeight="1" x14ac:dyDescent="0.2">
      <c r="A20" s="25" t="s">
        <v>52</v>
      </c>
      <c r="B20" s="25"/>
      <c r="C20" s="25"/>
      <c r="D20" s="25"/>
      <c r="E20" s="25"/>
      <c r="F20" s="25"/>
      <c r="G20" s="25"/>
      <c r="H20" s="25"/>
      <c r="I20" s="25"/>
      <c r="J20" s="27" t="s">
        <v>35</v>
      </c>
      <c r="K20" s="27"/>
      <c r="L20" s="27"/>
      <c r="M20" s="27" t="s">
        <v>53</v>
      </c>
      <c r="N20" s="27"/>
      <c r="O20" s="27"/>
      <c r="P20" s="56">
        <f>741000</f>
        <v>741000</v>
      </c>
      <c r="Q20" s="56"/>
      <c r="R20" s="56"/>
      <c r="S20" s="56">
        <f>902687.8</f>
        <v>902687.8</v>
      </c>
      <c r="T20" s="56"/>
      <c r="U20" s="56"/>
      <c r="V20" s="56"/>
      <c r="W20" s="56"/>
      <c r="X20" s="57" t="s">
        <v>39</v>
      </c>
      <c r="Y20" s="57"/>
      <c r="Z20" s="57"/>
    </row>
    <row r="21" spans="1:26" s="1" customFormat="1" ht="33.950000000000003" customHeight="1" x14ac:dyDescent="0.2">
      <c r="A21" s="25" t="s">
        <v>54</v>
      </c>
      <c r="B21" s="25"/>
      <c r="C21" s="25"/>
      <c r="D21" s="25"/>
      <c r="E21" s="25"/>
      <c r="F21" s="25"/>
      <c r="G21" s="25"/>
      <c r="H21" s="25"/>
      <c r="I21" s="25"/>
      <c r="J21" s="27" t="s">
        <v>35</v>
      </c>
      <c r="K21" s="27"/>
      <c r="L21" s="27"/>
      <c r="M21" s="27" t="s">
        <v>55</v>
      </c>
      <c r="N21" s="27"/>
      <c r="O21" s="27"/>
      <c r="P21" s="56">
        <f>428000</f>
        <v>428000</v>
      </c>
      <c r="Q21" s="56"/>
      <c r="R21" s="56"/>
      <c r="S21" s="56">
        <f>430545.6</f>
        <v>430545.6</v>
      </c>
      <c r="T21" s="56"/>
      <c r="U21" s="56"/>
      <c r="V21" s="56"/>
      <c r="W21" s="56"/>
      <c r="X21" s="57" t="s">
        <v>39</v>
      </c>
      <c r="Y21" s="57"/>
      <c r="Z21" s="57"/>
    </row>
    <row r="22" spans="1:26" s="1" customFormat="1" ht="33.950000000000003" customHeight="1" x14ac:dyDescent="0.2">
      <c r="A22" s="25" t="s">
        <v>56</v>
      </c>
      <c r="B22" s="25"/>
      <c r="C22" s="25"/>
      <c r="D22" s="25"/>
      <c r="E22" s="25"/>
      <c r="F22" s="25"/>
      <c r="G22" s="25"/>
      <c r="H22" s="25"/>
      <c r="I22" s="25"/>
      <c r="J22" s="27" t="s">
        <v>35</v>
      </c>
      <c r="K22" s="27"/>
      <c r="L22" s="27"/>
      <c r="M22" s="27" t="s">
        <v>57</v>
      </c>
      <c r="N22" s="27"/>
      <c r="O22" s="27"/>
      <c r="P22" s="56">
        <f>1460000</f>
        <v>1460000</v>
      </c>
      <c r="Q22" s="56"/>
      <c r="R22" s="56"/>
      <c r="S22" s="56">
        <f>1460803.11</f>
        <v>1460803.11</v>
      </c>
      <c r="T22" s="56"/>
      <c r="U22" s="56"/>
      <c r="V22" s="56"/>
      <c r="W22" s="56"/>
      <c r="X22" s="57" t="s">
        <v>39</v>
      </c>
      <c r="Y22" s="57"/>
      <c r="Z22" s="57"/>
    </row>
    <row r="23" spans="1:26" s="1" customFormat="1" ht="66" customHeight="1" x14ac:dyDescent="0.2">
      <c r="A23" s="25" t="s">
        <v>37</v>
      </c>
      <c r="B23" s="25"/>
      <c r="C23" s="25"/>
      <c r="D23" s="25"/>
      <c r="E23" s="25"/>
      <c r="F23" s="25"/>
      <c r="G23" s="25"/>
      <c r="H23" s="25"/>
      <c r="I23" s="25"/>
      <c r="J23" s="27" t="s">
        <v>35</v>
      </c>
      <c r="K23" s="27"/>
      <c r="L23" s="27"/>
      <c r="M23" s="27" t="s">
        <v>58</v>
      </c>
      <c r="N23" s="27"/>
      <c r="O23" s="27"/>
      <c r="P23" s="56">
        <f>3500000</f>
        <v>3500000</v>
      </c>
      <c r="Q23" s="56"/>
      <c r="R23" s="56"/>
      <c r="S23" s="56">
        <f>3937822.38</f>
        <v>3937822.38</v>
      </c>
      <c r="T23" s="56"/>
      <c r="U23" s="56"/>
      <c r="V23" s="56"/>
      <c r="W23" s="56"/>
      <c r="X23" s="57" t="s">
        <v>39</v>
      </c>
      <c r="Y23" s="57"/>
      <c r="Z23" s="57"/>
    </row>
    <row r="24" spans="1:26" s="1" customFormat="1" ht="75.95" customHeight="1" x14ac:dyDescent="0.2">
      <c r="A24" s="25" t="s">
        <v>40</v>
      </c>
      <c r="B24" s="25"/>
      <c r="C24" s="25"/>
      <c r="D24" s="25"/>
      <c r="E24" s="25"/>
      <c r="F24" s="25"/>
      <c r="G24" s="25"/>
      <c r="H24" s="25"/>
      <c r="I24" s="25"/>
      <c r="J24" s="27" t="s">
        <v>35</v>
      </c>
      <c r="K24" s="27"/>
      <c r="L24" s="27"/>
      <c r="M24" s="27" t="s">
        <v>59</v>
      </c>
      <c r="N24" s="27"/>
      <c r="O24" s="27"/>
      <c r="P24" s="56">
        <f>18000</f>
        <v>18000</v>
      </c>
      <c r="Q24" s="56"/>
      <c r="R24" s="56"/>
      <c r="S24" s="56">
        <f>20566.86</f>
        <v>20566.86</v>
      </c>
      <c r="T24" s="56"/>
      <c r="U24" s="56"/>
      <c r="V24" s="56"/>
      <c r="W24" s="56"/>
      <c r="X24" s="57" t="s">
        <v>39</v>
      </c>
      <c r="Y24" s="57"/>
      <c r="Z24" s="57"/>
    </row>
    <row r="25" spans="1:26" s="1" customFormat="1" ht="66" customHeight="1" x14ac:dyDescent="0.2">
      <c r="A25" s="25" t="s">
        <v>42</v>
      </c>
      <c r="B25" s="25"/>
      <c r="C25" s="25"/>
      <c r="D25" s="25"/>
      <c r="E25" s="25"/>
      <c r="F25" s="25"/>
      <c r="G25" s="25"/>
      <c r="H25" s="25"/>
      <c r="I25" s="25"/>
      <c r="J25" s="27" t="s">
        <v>35</v>
      </c>
      <c r="K25" s="27"/>
      <c r="L25" s="27"/>
      <c r="M25" s="27" t="s">
        <v>60</v>
      </c>
      <c r="N25" s="27"/>
      <c r="O25" s="27"/>
      <c r="P25" s="56">
        <f>3011100</f>
        <v>3011100</v>
      </c>
      <c r="Q25" s="56"/>
      <c r="R25" s="56"/>
      <c r="S25" s="56">
        <f>4070046.78</f>
        <v>4070046.78</v>
      </c>
      <c r="T25" s="56"/>
      <c r="U25" s="56"/>
      <c r="V25" s="56"/>
      <c r="W25" s="56"/>
      <c r="X25" s="57" t="s">
        <v>39</v>
      </c>
      <c r="Y25" s="57"/>
      <c r="Z25" s="57"/>
    </row>
    <row r="26" spans="1:26" s="1" customFormat="1" ht="66" customHeight="1" x14ac:dyDescent="0.2">
      <c r="A26" s="25" t="s">
        <v>61</v>
      </c>
      <c r="B26" s="25"/>
      <c r="C26" s="25"/>
      <c r="D26" s="25"/>
      <c r="E26" s="25"/>
      <c r="F26" s="25"/>
      <c r="G26" s="25"/>
      <c r="H26" s="25"/>
      <c r="I26" s="25"/>
      <c r="J26" s="27" t="s">
        <v>35</v>
      </c>
      <c r="K26" s="27"/>
      <c r="L26" s="27"/>
      <c r="M26" s="27" t="s">
        <v>62</v>
      </c>
      <c r="N26" s="27"/>
      <c r="O26" s="27"/>
      <c r="P26" s="29" t="s">
        <v>39</v>
      </c>
      <c r="Q26" s="29"/>
      <c r="R26" s="29"/>
      <c r="S26" s="56">
        <f>-428729.06</f>
        <v>-428729.06</v>
      </c>
      <c r="T26" s="56"/>
      <c r="U26" s="56"/>
      <c r="V26" s="56"/>
      <c r="W26" s="56"/>
      <c r="X26" s="57" t="s">
        <v>39</v>
      </c>
      <c r="Y26" s="57"/>
      <c r="Z26" s="57"/>
    </row>
    <row r="27" spans="1:26" s="1" customFormat="1" ht="14.1" customHeight="1" x14ac:dyDescent="0.2">
      <c r="A27" s="25" t="s">
        <v>63</v>
      </c>
      <c r="B27" s="25"/>
      <c r="C27" s="25"/>
      <c r="D27" s="25"/>
      <c r="E27" s="25"/>
      <c r="F27" s="25"/>
      <c r="G27" s="25"/>
      <c r="H27" s="25"/>
      <c r="I27" s="25"/>
      <c r="J27" s="27" t="s">
        <v>35</v>
      </c>
      <c r="K27" s="27"/>
      <c r="L27" s="27"/>
      <c r="M27" s="27" t="s">
        <v>64</v>
      </c>
      <c r="N27" s="27"/>
      <c r="O27" s="27"/>
      <c r="P27" s="56">
        <f>295000</f>
        <v>295000</v>
      </c>
      <c r="Q27" s="56"/>
      <c r="R27" s="56"/>
      <c r="S27" s="56">
        <f>298070.5</f>
        <v>298070.5</v>
      </c>
      <c r="T27" s="56"/>
      <c r="U27" s="56"/>
      <c r="V27" s="56"/>
      <c r="W27" s="56"/>
      <c r="X27" s="57" t="s">
        <v>39</v>
      </c>
      <c r="Y27" s="57"/>
      <c r="Z27" s="57"/>
    </row>
    <row r="28" spans="1:26" s="1" customFormat="1" ht="24" customHeight="1" x14ac:dyDescent="0.2">
      <c r="A28" s="25" t="s">
        <v>65</v>
      </c>
      <c r="B28" s="25"/>
      <c r="C28" s="25"/>
      <c r="D28" s="25"/>
      <c r="E28" s="25"/>
      <c r="F28" s="25"/>
      <c r="G28" s="25"/>
      <c r="H28" s="25"/>
      <c r="I28" s="25"/>
      <c r="J28" s="27" t="s">
        <v>35</v>
      </c>
      <c r="K28" s="27"/>
      <c r="L28" s="27"/>
      <c r="M28" s="27" t="s">
        <v>66</v>
      </c>
      <c r="N28" s="27"/>
      <c r="O28" s="27"/>
      <c r="P28" s="56">
        <f>5300000</f>
        <v>5300000</v>
      </c>
      <c r="Q28" s="56"/>
      <c r="R28" s="56"/>
      <c r="S28" s="56">
        <f>9499000.16</f>
        <v>9499000.1600000001</v>
      </c>
      <c r="T28" s="56"/>
      <c r="U28" s="56"/>
      <c r="V28" s="56"/>
      <c r="W28" s="56"/>
      <c r="X28" s="57" t="s">
        <v>39</v>
      </c>
      <c r="Y28" s="57"/>
      <c r="Z28" s="57"/>
    </row>
    <row r="29" spans="1:26" s="1" customFormat="1" ht="24" customHeight="1" x14ac:dyDescent="0.2">
      <c r="A29" s="25" t="s">
        <v>67</v>
      </c>
      <c r="B29" s="25"/>
      <c r="C29" s="25"/>
      <c r="D29" s="25"/>
      <c r="E29" s="25"/>
      <c r="F29" s="25"/>
      <c r="G29" s="25"/>
      <c r="H29" s="25"/>
      <c r="I29" s="25"/>
      <c r="J29" s="27" t="s">
        <v>35</v>
      </c>
      <c r="K29" s="27"/>
      <c r="L29" s="27"/>
      <c r="M29" s="27" t="s">
        <v>68</v>
      </c>
      <c r="N29" s="27"/>
      <c r="O29" s="27"/>
      <c r="P29" s="56">
        <f>2209000</f>
        <v>2209000</v>
      </c>
      <c r="Q29" s="56"/>
      <c r="R29" s="56"/>
      <c r="S29" s="56">
        <f>2209453.19</f>
        <v>2209453.19</v>
      </c>
      <c r="T29" s="56"/>
      <c r="U29" s="56"/>
      <c r="V29" s="56"/>
      <c r="W29" s="56"/>
      <c r="X29" s="57" t="s">
        <v>39</v>
      </c>
      <c r="Y29" s="57"/>
      <c r="Z29" s="57"/>
    </row>
    <row r="30" spans="1:26" s="1" customFormat="1" ht="24" customHeight="1" x14ac:dyDescent="0.2">
      <c r="A30" s="25" t="s">
        <v>69</v>
      </c>
      <c r="B30" s="25"/>
      <c r="C30" s="25"/>
      <c r="D30" s="25"/>
      <c r="E30" s="25"/>
      <c r="F30" s="25"/>
      <c r="G30" s="25"/>
      <c r="H30" s="25"/>
      <c r="I30" s="25"/>
      <c r="J30" s="27" t="s">
        <v>35</v>
      </c>
      <c r="K30" s="27"/>
      <c r="L30" s="27"/>
      <c r="M30" s="27" t="s">
        <v>70</v>
      </c>
      <c r="N30" s="27"/>
      <c r="O30" s="27"/>
      <c r="P30" s="56">
        <f>3691000</f>
        <v>3691000</v>
      </c>
      <c r="Q30" s="56"/>
      <c r="R30" s="56"/>
      <c r="S30" s="56">
        <f>4358648.06</f>
        <v>4358648.0599999996</v>
      </c>
      <c r="T30" s="56"/>
      <c r="U30" s="56"/>
      <c r="V30" s="56"/>
      <c r="W30" s="56"/>
      <c r="X30" s="57" t="s">
        <v>39</v>
      </c>
      <c r="Y30" s="57"/>
      <c r="Z30" s="57"/>
    </row>
    <row r="31" spans="1:26" s="1" customFormat="1" ht="45" customHeight="1" x14ac:dyDescent="0.2">
      <c r="A31" s="25" t="s">
        <v>71</v>
      </c>
      <c r="B31" s="25"/>
      <c r="C31" s="25"/>
      <c r="D31" s="25"/>
      <c r="E31" s="25"/>
      <c r="F31" s="25"/>
      <c r="G31" s="25"/>
      <c r="H31" s="25"/>
      <c r="I31" s="25"/>
      <c r="J31" s="27" t="s">
        <v>35</v>
      </c>
      <c r="K31" s="27"/>
      <c r="L31" s="27"/>
      <c r="M31" s="27" t="s">
        <v>72</v>
      </c>
      <c r="N31" s="27"/>
      <c r="O31" s="27"/>
      <c r="P31" s="56">
        <f>150000</f>
        <v>150000</v>
      </c>
      <c r="Q31" s="56"/>
      <c r="R31" s="56"/>
      <c r="S31" s="56">
        <f>200426</f>
        <v>200426</v>
      </c>
      <c r="T31" s="56"/>
      <c r="U31" s="56"/>
      <c r="V31" s="56"/>
      <c r="W31" s="56"/>
      <c r="X31" s="57" t="s">
        <v>39</v>
      </c>
      <c r="Y31" s="57"/>
      <c r="Z31" s="57"/>
    </row>
    <row r="32" spans="1:26" s="1" customFormat="1" ht="33.950000000000003" customHeight="1" x14ac:dyDescent="0.2">
      <c r="A32" s="25" t="s">
        <v>73</v>
      </c>
      <c r="B32" s="25"/>
      <c r="C32" s="25"/>
      <c r="D32" s="25"/>
      <c r="E32" s="25"/>
      <c r="F32" s="25"/>
      <c r="G32" s="25"/>
      <c r="H32" s="25"/>
      <c r="I32" s="25"/>
      <c r="J32" s="27" t="s">
        <v>35</v>
      </c>
      <c r="K32" s="27"/>
      <c r="L32" s="27"/>
      <c r="M32" s="27" t="s">
        <v>74</v>
      </c>
      <c r="N32" s="27"/>
      <c r="O32" s="27"/>
      <c r="P32" s="56">
        <f>35000</f>
        <v>35000</v>
      </c>
      <c r="Q32" s="56"/>
      <c r="R32" s="56"/>
      <c r="S32" s="56">
        <f>43545.25</f>
        <v>43545.25</v>
      </c>
      <c r="T32" s="56"/>
      <c r="U32" s="56"/>
      <c r="V32" s="56"/>
      <c r="W32" s="56"/>
      <c r="X32" s="57" t="s">
        <v>39</v>
      </c>
      <c r="Y32" s="57"/>
      <c r="Z32" s="57"/>
    </row>
    <row r="33" spans="1:26" s="1" customFormat="1" ht="14.1" customHeight="1" x14ac:dyDescent="0.2">
      <c r="A33" s="25" t="s">
        <v>75</v>
      </c>
      <c r="B33" s="25"/>
      <c r="C33" s="25"/>
      <c r="D33" s="25"/>
      <c r="E33" s="25"/>
      <c r="F33" s="25"/>
      <c r="G33" s="25"/>
      <c r="H33" s="25"/>
      <c r="I33" s="25"/>
      <c r="J33" s="27" t="s">
        <v>35</v>
      </c>
      <c r="K33" s="27"/>
      <c r="L33" s="27"/>
      <c r="M33" s="27" t="s">
        <v>76</v>
      </c>
      <c r="N33" s="27"/>
      <c r="O33" s="27"/>
      <c r="P33" s="29" t="s">
        <v>39</v>
      </c>
      <c r="Q33" s="29"/>
      <c r="R33" s="29"/>
      <c r="S33" s="56">
        <f>523.5</f>
        <v>523.5</v>
      </c>
      <c r="T33" s="56"/>
      <c r="U33" s="56"/>
      <c r="V33" s="56"/>
      <c r="W33" s="56"/>
      <c r="X33" s="57" t="s">
        <v>39</v>
      </c>
      <c r="Y33" s="57"/>
      <c r="Z33" s="57"/>
    </row>
    <row r="34" spans="1:26" s="1" customFormat="1" ht="45" customHeight="1" x14ac:dyDescent="0.2">
      <c r="A34" s="25" t="s">
        <v>77</v>
      </c>
      <c r="B34" s="25"/>
      <c r="C34" s="25"/>
      <c r="D34" s="25"/>
      <c r="E34" s="25"/>
      <c r="F34" s="25"/>
      <c r="G34" s="25"/>
      <c r="H34" s="25"/>
      <c r="I34" s="25"/>
      <c r="J34" s="27" t="s">
        <v>35</v>
      </c>
      <c r="K34" s="27"/>
      <c r="L34" s="27"/>
      <c r="M34" s="27" t="s">
        <v>78</v>
      </c>
      <c r="N34" s="27"/>
      <c r="O34" s="27"/>
      <c r="P34" s="56">
        <f>25000</f>
        <v>25000</v>
      </c>
      <c r="Q34" s="56"/>
      <c r="R34" s="56"/>
      <c r="S34" s="56">
        <f>25624.79</f>
        <v>25624.79</v>
      </c>
      <c r="T34" s="56"/>
      <c r="U34" s="56"/>
      <c r="V34" s="56"/>
      <c r="W34" s="56"/>
      <c r="X34" s="57" t="s">
        <v>39</v>
      </c>
      <c r="Y34" s="57"/>
      <c r="Z34" s="57"/>
    </row>
    <row r="35" spans="1:26" s="1" customFormat="1" ht="14.1" customHeight="1" x14ac:dyDescent="0.2">
      <c r="A35" s="25" t="s">
        <v>79</v>
      </c>
      <c r="B35" s="25"/>
      <c r="C35" s="25"/>
      <c r="D35" s="25"/>
      <c r="E35" s="25"/>
      <c r="F35" s="25"/>
      <c r="G35" s="25"/>
      <c r="H35" s="25"/>
      <c r="I35" s="25"/>
      <c r="J35" s="27" t="s">
        <v>35</v>
      </c>
      <c r="K35" s="27"/>
      <c r="L35" s="27"/>
      <c r="M35" s="27" t="s">
        <v>80</v>
      </c>
      <c r="N35" s="27"/>
      <c r="O35" s="27"/>
      <c r="P35" s="29" t="s">
        <v>39</v>
      </c>
      <c r="Q35" s="29"/>
      <c r="R35" s="29"/>
      <c r="S35" s="56">
        <f>0</f>
        <v>0</v>
      </c>
      <c r="T35" s="56"/>
      <c r="U35" s="56"/>
      <c r="V35" s="56"/>
      <c r="W35" s="56"/>
      <c r="X35" s="57" t="s">
        <v>39</v>
      </c>
      <c r="Y35" s="57"/>
      <c r="Z35" s="57"/>
    </row>
    <row r="36" spans="1:26" s="1" customFormat="1" ht="14.1" customHeight="1" x14ac:dyDescent="0.2">
      <c r="A36" s="25" t="s">
        <v>81</v>
      </c>
      <c r="B36" s="25"/>
      <c r="C36" s="25"/>
      <c r="D36" s="25"/>
      <c r="E36" s="25"/>
      <c r="F36" s="25"/>
      <c r="G36" s="25"/>
      <c r="H36" s="25"/>
      <c r="I36" s="25"/>
      <c r="J36" s="27" t="s">
        <v>35</v>
      </c>
      <c r="K36" s="27"/>
      <c r="L36" s="27"/>
      <c r="M36" s="27" t="s">
        <v>82</v>
      </c>
      <c r="N36" s="27"/>
      <c r="O36" s="27"/>
      <c r="P36" s="56">
        <f>30000</f>
        <v>30000</v>
      </c>
      <c r="Q36" s="56"/>
      <c r="R36" s="56"/>
      <c r="S36" s="56">
        <f>30000</f>
        <v>30000</v>
      </c>
      <c r="T36" s="56"/>
      <c r="U36" s="56"/>
      <c r="V36" s="56"/>
      <c r="W36" s="56"/>
      <c r="X36" s="58">
        <f>0</f>
        <v>0</v>
      </c>
      <c r="Y36" s="58"/>
      <c r="Z36" s="58"/>
    </row>
    <row r="37" spans="1:26" s="1" customFormat="1" ht="24" customHeight="1" x14ac:dyDescent="0.2">
      <c r="A37" s="25" t="s">
        <v>83</v>
      </c>
      <c r="B37" s="25"/>
      <c r="C37" s="25"/>
      <c r="D37" s="25"/>
      <c r="E37" s="25"/>
      <c r="F37" s="25"/>
      <c r="G37" s="25"/>
      <c r="H37" s="25"/>
      <c r="I37" s="25"/>
      <c r="J37" s="27" t="s">
        <v>35</v>
      </c>
      <c r="K37" s="27"/>
      <c r="L37" s="27"/>
      <c r="M37" s="27" t="s">
        <v>84</v>
      </c>
      <c r="N37" s="27"/>
      <c r="O37" s="27"/>
      <c r="P37" s="56">
        <f>11098000</f>
        <v>11098000</v>
      </c>
      <c r="Q37" s="56"/>
      <c r="R37" s="56"/>
      <c r="S37" s="56">
        <f>11098000</f>
        <v>11098000</v>
      </c>
      <c r="T37" s="56"/>
      <c r="U37" s="56"/>
      <c r="V37" s="56"/>
      <c r="W37" s="56"/>
      <c r="X37" s="58">
        <f>0</f>
        <v>0</v>
      </c>
      <c r="Y37" s="58"/>
      <c r="Z37" s="58"/>
    </row>
    <row r="38" spans="1:26" s="1" customFormat="1" ht="24" customHeight="1" x14ac:dyDescent="0.2">
      <c r="A38" s="25" t="s">
        <v>85</v>
      </c>
      <c r="B38" s="25"/>
      <c r="C38" s="25"/>
      <c r="D38" s="25"/>
      <c r="E38" s="25"/>
      <c r="F38" s="25"/>
      <c r="G38" s="25"/>
      <c r="H38" s="25"/>
      <c r="I38" s="25"/>
      <c r="J38" s="27" t="s">
        <v>35</v>
      </c>
      <c r="K38" s="27"/>
      <c r="L38" s="27"/>
      <c r="M38" s="27" t="s">
        <v>86</v>
      </c>
      <c r="N38" s="27"/>
      <c r="O38" s="27"/>
      <c r="P38" s="56">
        <f>78455399.54</f>
        <v>78455399.540000007</v>
      </c>
      <c r="Q38" s="56"/>
      <c r="R38" s="56"/>
      <c r="S38" s="56">
        <f>10998243.74</f>
        <v>10998243.74</v>
      </c>
      <c r="T38" s="56"/>
      <c r="U38" s="56"/>
      <c r="V38" s="56"/>
      <c r="W38" s="56"/>
      <c r="X38" s="58">
        <f>67457155.8</f>
        <v>67457155.799999997</v>
      </c>
      <c r="Y38" s="58"/>
      <c r="Z38" s="58"/>
    </row>
    <row r="39" spans="1:26" s="1" customFormat="1" ht="24" customHeight="1" x14ac:dyDescent="0.2">
      <c r="A39" s="25" t="s">
        <v>87</v>
      </c>
      <c r="B39" s="25"/>
      <c r="C39" s="25"/>
      <c r="D39" s="25"/>
      <c r="E39" s="25"/>
      <c r="F39" s="25"/>
      <c r="G39" s="25"/>
      <c r="H39" s="25"/>
      <c r="I39" s="25"/>
      <c r="J39" s="27" t="s">
        <v>35</v>
      </c>
      <c r="K39" s="27"/>
      <c r="L39" s="27"/>
      <c r="M39" s="27" t="s">
        <v>88</v>
      </c>
      <c r="N39" s="27"/>
      <c r="O39" s="27"/>
      <c r="P39" s="56">
        <f>7600</f>
        <v>7600</v>
      </c>
      <c r="Q39" s="56"/>
      <c r="R39" s="56"/>
      <c r="S39" s="56">
        <f>7600</f>
        <v>7600</v>
      </c>
      <c r="T39" s="56"/>
      <c r="U39" s="56"/>
      <c r="V39" s="56"/>
      <c r="W39" s="56"/>
      <c r="X39" s="58">
        <f>0</f>
        <v>0</v>
      </c>
      <c r="Y39" s="58"/>
      <c r="Z39" s="58"/>
    </row>
    <row r="40" spans="1:26" s="1" customFormat="1" ht="33.950000000000003" customHeight="1" x14ac:dyDescent="0.2">
      <c r="A40" s="25" t="s">
        <v>89</v>
      </c>
      <c r="B40" s="25"/>
      <c r="C40" s="25"/>
      <c r="D40" s="25"/>
      <c r="E40" s="25"/>
      <c r="F40" s="25"/>
      <c r="G40" s="25"/>
      <c r="H40" s="25"/>
      <c r="I40" s="25"/>
      <c r="J40" s="27" t="s">
        <v>35</v>
      </c>
      <c r="K40" s="27"/>
      <c r="L40" s="27"/>
      <c r="M40" s="27" t="s">
        <v>90</v>
      </c>
      <c r="N40" s="27"/>
      <c r="O40" s="27"/>
      <c r="P40" s="56">
        <f>593100</f>
        <v>593100</v>
      </c>
      <c r="Q40" s="56"/>
      <c r="R40" s="56"/>
      <c r="S40" s="56">
        <f>593100</f>
        <v>593100</v>
      </c>
      <c r="T40" s="56"/>
      <c r="U40" s="56"/>
      <c r="V40" s="56"/>
      <c r="W40" s="56"/>
      <c r="X40" s="58">
        <f>0</f>
        <v>0</v>
      </c>
      <c r="Y40" s="58"/>
      <c r="Z40" s="58"/>
    </row>
    <row r="41" spans="1:26" s="1" customFormat="1" ht="45" customHeight="1" x14ac:dyDescent="0.2">
      <c r="A41" s="25" t="s">
        <v>91</v>
      </c>
      <c r="B41" s="25"/>
      <c r="C41" s="25"/>
      <c r="D41" s="25"/>
      <c r="E41" s="25"/>
      <c r="F41" s="25"/>
      <c r="G41" s="25"/>
      <c r="H41" s="25"/>
      <c r="I41" s="25"/>
      <c r="J41" s="27" t="s">
        <v>35</v>
      </c>
      <c r="K41" s="27"/>
      <c r="L41" s="27"/>
      <c r="M41" s="27" t="s">
        <v>92</v>
      </c>
      <c r="N41" s="27"/>
      <c r="O41" s="27"/>
      <c r="P41" s="56">
        <f>1143496</f>
        <v>1143496</v>
      </c>
      <c r="Q41" s="56"/>
      <c r="R41" s="56"/>
      <c r="S41" s="56">
        <f>1143496</f>
        <v>1143496</v>
      </c>
      <c r="T41" s="56"/>
      <c r="U41" s="56"/>
      <c r="V41" s="56"/>
      <c r="W41" s="56"/>
      <c r="X41" s="58">
        <f>0</f>
        <v>0</v>
      </c>
      <c r="Y41" s="58"/>
      <c r="Z41" s="58"/>
    </row>
    <row r="42" spans="1:26" s="1" customFormat="1" ht="24" customHeight="1" x14ac:dyDescent="0.2">
      <c r="A42" s="25" t="s">
        <v>93</v>
      </c>
      <c r="B42" s="25"/>
      <c r="C42" s="25"/>
      <c r="D42" s="25"/>
      <c r="E42" s="25"/>
      <c r="F42" s="25"/>
      <c r="G42" s="25"/>
      <c r="H42" s="25"/>
      <c r="I42" s="25"/>
      <c r="J42" s="27" t="s">
        <v>35</v>
      </c>
      <c r="K42" s="27"/>
      <c r="L42" s="27"/>
      <c r="M42" s="27" t="s">
        <v>94</v>
      </c>
      <c r="N42" s="27"/>
      <c r="O42" s="27"/>
      <c r="P42" s="56">
        <f>1022000</f>
        <v>1022000</v>
      </c>
      <c r="Q42" s="56"/>
      <c r="R42" s="56"/>
      <c r="S42" s="56">
        <f>1022000</f>
        <v>1022000</v>
      </c>
      <c r="T42" s="56"/>
      <c r="U42" s="56"/>
      <c r="V42" s="56"/>
      <c r="W42" s="56"/>
      <c r="X42" s="58">
        <f>0</f>
        <v>0</v>
      </c>
      <c r="Y42" s="58"/>
      <c r="Z42" s="58"/>
    </row>
    <row r="43" spans="1:26" s="1" customFormat="1" ht="14.1" customHeight="1" x14ac:dyDescent="0.2">
      <c r="A43" s="25" t="s">
        <v>95</v>
      </c>
      <c r="B43" s="25"/>
      <c r="C43" s="25"/>
      <c r="D43" s="25"/>
      <c r="E43" s="25"/>
      <c r="F43" s="25"/>
      <c r="G43" s="25"/>
      <c r="H43" s="25"/>
      <c r="I43" s="25"/>
      <c r="J43" s="27" t="s">
        <v>35</v>
      </c>
      <c r="K43" s="27"/>
      <c r="L43" s="27"/>
      <c r="M43" s="27" t="s">
        <v>96</v>
      </c>
      <c r="N43" s="27"/>
      <c r="O43" s="27"/>
      <c r="P43" s="56">
        <f>120000</f>
        <v>120000</v>
      </c>
      <c r="Q43" s="56"/>
      <c r="R43" s="56"/>
      <c r="S43" s="56">
        <f>128465</f>
        <v>128465</v>
      </c>
      <c r="T43" s="56"/>
      <c r="U43" s="56"/>
      <c r="V43" s="56"/>
      <c r="W43" s="56"/>
      <c r="X43" s="57" t="s">
        <v>39</v>
      </c>
      <c r="Y43" s="57"/>
      <c r="Z43" s="57"/>
    </row>
    <row r="44" spans="1:26" s="1" customFormat="1" ht="54.95" customHeight="1" x14ac:dyDescent="0.2">
      <c r="A44" s="25" t="s">
        <v>97</v>
      </c>
      <c r="B44" s="25"/>
      <c r="C44" s="25"/>
      <c r="D44" s="25"/>
      <c r="E44" s="25"/>
      <c r="F44" s="25"/>
      <c r="G44" s="25"/>
      <c r="H44" s="25"/>
      <c r="I44" s="25"/>
      <c r="J44" s="27" t="s">
        <v>35</v>
      </c>
      <c r="K44" s="27"/>
      <c r="L44" s="27"/>
      <c r="M44" s="27" t="s">
        <v>98</v>
      </c>
      <c r="N44" s="27"/>
      <c r="O44" s="27"/>
      <c r="P44" s="29" t="s">
        <v>39</v>
      </c>
      <c r="Q44" s="29"/>
      <c r="R44" s="29"/>
      <c r="S44" s="56">
        <f>0</f>
        <v>0</v>
      </c>
      <c r="T44" s="56"/>
      <c r="U44" s="56"/>
      <c r="V44" s="56"/>
      <c r="W44" s="56"/>
      <c r="X44" s="57" t="s">
        <v>39</v>
      </c>
      <c r="Y44" s="57"/>
      <c r="Z44" s="57"/>
    </row>
    <row r="45" spans="1:26" s="1" customFormat="1" ht="14.1" customHeight="1" x14ac:dyDescent="0.2">
      <c r="A45" s="55" t="s">
        <v>10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s="1" customFormat="1" ht="14.1" customHeight="1" x14ac:dyDescent="0.2">
      <c r="A46" s="42" t="s">
        <v>99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1" customFormat="1" ht="35.1" customHeight="1" x14ac:dyDescent="0.2">
      <c r="A47" s="43" t="s">
        <v>22</v>
      </c>
      <c r="B47" s="43"/>
      <c r="C47" s="43"/>
      <c r="D47" s="43"/>
      <c r="E47" s="43"/>
      <c r="F47" s="43"/>
      <c r="G47" s="43"/>
      <c r="H47" s="43"/>
      <c r="I47" s="43" t="s">
        <v>23</v>
      </c>
      <c r="J47" s="43"/>
      <c r="K47" s="43"/>
      <c r="L47" s="43" t="s">
        <v>100</v>
      </c>
      <c r="M47" s="43"/>
      <c r="N47" s="43"/>
      <c r="O47" s="44" t="s">
        <v>101</v>
      </c>
      <c r="P47" s="44"/>
      <c r="Q47" s="44" t="s">
        <v>25</v>
      </c>
      <c r="R47" s="44"/>
      <c r="S47" s="44"/>
      <c r="T47" s="44" t="s">
        <v>26</v>
      </c>
      <c r="U47" s="44"/>
      <c r="V47" s="44"/>
      <c r="W47" s="44"/>
      <c r="X47" s="44"/>
      <c r="Y47" s="45" t="s">
        <v>27</v>
      </c>
      <c r="Z47" s="45"/>
    </row>
    <row r="48" spans="1:26" s="1" customFormat="1" ht="14.1" customHeight="1" x14ac:dyDescent="0.2">
      <c r="A48" s="40" t="s">
        <v>28</v>
      </c>
      <c r="B48" s="40"/>
      <c r="C48" s="40"/>
      <c r="D48" s="40"/>
      <c r="E48" s="40"/>
      <c r="F48" s="40"/>
      <c r="G48" s="40"/>
      <c r="H48" s="40"/>
      <c r="I48" s="40" t="s">
        <v>29</v>
      </c>
      <c r="J48" s="40"/>
      <c r="K48" s="40"/>
      <c r="L48" s="40" t="s">
        <v>30</v>
      </c>
      <c r="M48" s="40"/>
      <c r="N48" s="40"/>
      <c r="O48" s="41" t="s">
        <v>31</v>
      </c>
      <c r="P48" s="41"/>
      <c r="Q48" s="41" t="s">
        <v>32</v>
      </c>
      <c r="R48" s="41"/>
      <c r="S48" s="41"/>
      <c r="T48" s="41" t="s">
        <v>33</v>
      </c>
      <c r="U48" s="41"/>
      <c r="V48" s="41"/>
      <c r="W48" s="41"/>
      <c r="X48" s="41"/>
      <c r="Y48" s="33" t="s">
        <v>102</v>
      </c>
      <c r="Z48" s="33"/>
    </row>
    <row r="49" spans="1:26" s="1" customFormat="1" ht="14.1" customHeight="1" x14ac:dyDescent="0.2">
      <c r="A49" s="34" t="s">
        <v>103</v>
      </c>
      <c r="B49" s="34"/>
      <c r="C49" s="34"/>
      <c r="D49" s="34"/>
      <c r="E49" s="34"/>
      <c r="F49" s="34"/>
      <c r="G49" s="34"/>
      <c r="H49" s="34"/>
      <c r="I49" s="35" t="s">
        <v>104</v>
      </c>
      <c r="J49" s="35"/>
      <c r="K49" s="35"/>
      <c r="L49" s="35" t="s">
        <v>36</v>
      </c>
      <c r="M49" s="35"/>
      <c r="N49" s="35"/>
      <c r="O49" s="53" t="s">
        <v>36</v>
      </c>
      <c r="P49" s="53"/>
      <c r="Q49" s="37">
        <f>173589909.19</f>
        <v>173589909.19</v>
      </c>
      <c r="R49" s="37"/>
      <c r="S49" s="37"/>
      <c r="T49" s="37">
        <f>75661864.73</f>
        <v>75661864.730000004</v>
      </c>
      <c r="U49" s="37"/>
      <c r="V49" s="37"/>
      <c r="W49" s="37"/>
      <c r="X49" s="37"/>
      <c r="Y49" s="54">
        <f>97928044.46</f>
        <v>97928044.459999993</v>
      </c>
      <c r="Z49" s="54"/>
    </row>
    <row r="50" spans="1:26" s="1" customFormat="1" ht="14.1" customHeight="1" x14ac:dyDescent="0.2">
      <c r="A50" s="13" t="s">
        <v>105</v>
      </c>
      <c r="B50" s="13"/>
      <c r="C50" s="13"/>
      <c r="D50" s="13"/>
      <c r="E50" s="13"/>
      <c r="F50" s="13"/>
      <c r="G50" s="13"/>
      <c r="H50" s="13"/>
      <c r="I50" s="14" t="s">
        <v>104</v>
      </c>
      <c r="J50" s="14"/>
      <c r="K50" s="14"/>
      <c r="L50" s="14" t="s">
        <v>106</v>
      </c>
      <c r="M50" s="14"/>
      <c r="N50" s="14"/>
      <c r="O50" s="51" t="s">
        <v>107</v>
      </c>
      <c r="P50" s="51"/>
      <c r="Q50" s="16">
        <f>1031000</f>
        <v>1031000</v>
      </c>
      <c r="R50" s="16"/>
      <c r="S50" s="16"/>
      <c r="T50" s="16">
        <f>617859.03</f>
        <v>617859.03</v>
      </c>
      <c r="U50" s="16"/>
      <c r="V50" s="16"/>
      <c r="W50" s="16"/>
      <c r="X50" s="16"/>
      <c r="Y50" s="49">
        <f>413140.97</f>
        <v>413140.97</v>
      </c>
      <c r="Z50" s="49"/>
    </row>
    <row r="51" spans="1:26" s="1" customFormat="1" ht="14.1" customHeight="1" x14ac:dyDescent="0.2">
      <c r="A51" s="13" t="s">
        <v>108</v>
      </c>
      <c r="B51" s="13"/>
      <c r="C51" s="13"/>
      <c r="D51" s="13"/>
      <c r="E51" s="13"/>
      <c r="F51" s="13"/>
      <c r="G51" s="13"/>
      <c r="H51" s="13"/>
      <c r="I51" s="14" t="s">
        <v>104</v>
      </c>
      <c r="J51" s="14"/>
      <c r="K51" s="14"/>
      <c r="L51" s="14" t="s">
        <v>106</v>
      </c>
      <c r="M51" s="14"/>
      <c r="N51" s="14"/>
      <c r="O51" s="51" t="s">
        <v>109</v>
      </c>
      <c r="P51" s="51"/>
      <c r="Q51" s="16">
        <f>10000</f>
        <v>10000</v>
      </c>
      <c r="R51" s="16"/>
      <c r="S51" s="16"/>
      <c r="T51" s="16">
        <f>6547.29</f>
        <v>6547.29</v>
      </c>
      <c r="U51" s="16"/>
      <c r="V51" s="16"/>
      <c r="W51" s="16"/>
      <c r="X51" s="16"/>
      <c r="Y51" s="49">
        <f>3452.71</f>
        <v>3452.71</v>
      </c>
      <c r="Z51" s="49"/>
    </row>
    <row r="52" spans="1:26" s="1" customFormat="1" ht="14.1" customHeight="1" x14ac:dyDescent="0.2">
      <c r="A52" s="13" t="s">
        <v>110</v>
      </c>
      <c r="B52" s="13"/>
      <c r="C52" s="13"/>
      <c r="D52" s="13"/>
      <c r="E52" s="13"/>
      <c r="F52" s="13"/>
      <c r="G52" s="13"/>
      <c r="H52" s="13"/>
      <c r="I52" s="14" t="s">
        <v>104</v>
      </c>
      <c r="J52" s="14"/>
      <c r="K52" s="14"/>
      <c r="L52" s="14" t="s">
        <v>111</v>
      </c>
      <c r="M52" s="14"/>
      <c r="N52" s="14"/>
      <c r="O52" s="51" t="s">
        <v>112</v>
      </c>
      <c r="P52" s="51"/>
      <c r="Q52" s="16">
        <f>314000</f>
        <v>314000</v>
      </c>
      <c r="R52" s="16"/>
      <c r="S52" s="16"/>
      <c r="T52" s="16">
        <f>185102.17</f>
        <v>185102.17</v>
      </c>
      <c r="U52" s="16"/>
      <c r="V52" s="16"/>
      <c r="W52" s="16"/>
      <c r="X52" s="16"/>
      <c r="Y52" s="49">
        <f>128897.83</f>
        <v>128897.83</v>
      </c>
      <c r="Z52" s="49"/>
    </row>
    <row r="53" spans="1:26" s="1" customFormat="1" ht="14.1" customHeight="1" x14ac:dyDescent="0.2">
      <c r="A53" s="13" t="s">
        <v>105</v>
      </c>
      <c r="B53" s="13"/>
      <c r="C53" s="13"/>
      <c r="D53" s="13"/>
      <c r="E53" s="13"/>
      <c r="F53" s="13"/>
      <c r="G53" s="13"/>
      <c r="H53" s="13"/>
      <c r="I53" s="14" t="s">
        <v>104</v>
      </c>
      <c r="J53" s="14"/>
      <c r="K53" s="14"/>
      <c r="L53" s="14" t="s">
        <v>113</v>
      </c>
      <c r="M53" s="14"/>
      <c r="N53" s="14"/>
      <c r="O53" s="51" t="s">
        <v>107</v>
      </c>
      <c r="P53" s="51"/>
      <c r="Q53" s="16">
        <f>6550000</f>
        <v>6550000</v>
      </c>
      <c r="R53" s="16"/>
      <c r="S53" s="16"/>
      <c r="T53" s="16">
        <f>6341113.16</f>
        <v>6341113.1600000001</v>
      </c>
      <c r="U53" s="16"/>
      <c r="V53" s="16"/>
      <c r="W53" s="16"/>
      <c r="X53" s="16"/>
      <c r="Y53" s="49">
        <f>208886.84</f>
        <v>208886.84</v>
      </c>
      <c r="Z53" s="49"/>
    </row>
    <row r="54" spans="1:26" s="1" customFormat="1" ht="14.1" customHeight="1" x14ac:dyDescent="0.2">
      <c r="A54" s="13" t="s">
        <v>108</v>
      </c>
      <c r="B54" s="13"/>
      <c r="C54" s="13"/>
      <c r="D54" s="13"/>
      <c r="E54" s="13"/>
      <c r="F54" s="13"/>
      <c r="G54" s="13"/>
      <c r="H54" s="13"/>
      <c r="I54" s="14" t="s">
        <v>104</v>
      </c>
      <c r="J54" s="14"/>
      <c r="K54" s="14"/>
      <c r="L54" s="14" t="s">
        <v>113</v>
      </c>
      <c r="M54" s="14"/>
      <c r="N54" s="14"/>
      <c r="O54" s="51" t="s">
        <v>109</v>
      </c>
      <c r="P54" s="51"/>
      <c r="Q54" s="16">
        <f>30000</f>
        <v>30000</v>
      </c>
      <c r="R54" s="16"/>
      <c r="S54" s="16"/>
      <c r="T54" s="16">
        <f>18911.99</f>
        <v>18911.990000000002</v>
      </c>
      <c r="U54" s="16"/>
      <c r="V54" s="16"/>
      <c r="W54" s="16"/>
      <c r="X54" s="16"/>
      <c r="Y54" s="49">
        <f>11088.01</f>
        <v>11088.01</v>
      </c>
      <c r="Z54" s="49"/>
    </row>
    <row r="55" spans="1:26" s="1" customFormat="1" ht="14.1" customHeight="1" x14ac:dyDescent="0.2">
      <c r="A55" s="13" t="s">
        <v>110</v>
      </c>
      <c r="B55" s="13"/>
      <c r="C55" s="13"/>
      <c r="D55" s="13"/>
      <c r="E55" s="13"/>
      <c r="F55" s="13"/>
      <c r="G55" s="13"/>
      <c r="H55" s="13"/>
      <c r="I55" s="14" t="s">
        <v>104</v>
      </c>
      <c r="J55" s="14"/>
      <c r="K55" s="14"/>
      <c r="L55" s="14" t="s">
        <v>114</v>
      </c>
      <c r="M55" s="14"/>
      <c r="N55" s="14"/>
      <c r="O55" s="51" t="s">
        <v>112</v>
      </c>
      <c r="P55" s="51"/>
      <c r="Q55" s="16">
        <f>1969000</f>
        <v>1969000</v>
      </c>
      <c r="R55" s="16"/>
      <c r="S55" s="16"/>
      <c r="T55" s="16">
        <f>1896848.95</f>
        <v>1896848.95</v>
      </c>
      <c r="U55" s="16"/>
      <c r="V55" s="16"/>
      <c r="W55" s="16"/>
      <c r="X55" s="16"/>
      <c r="Y55" s="49">
        <f>72151.05</f>
        <v>72151.05</v>
      </c>
      <c r="Z55" s="49"/>
    </row>
    <row r="56" spans="1:26" s="1" customFormat="1" ht="14.1" customHeight="1" x14ac:dyDescent="0.2">
      <c r="A56" s="13" t="s">
        <v>115</v>
      </c>
      <c r="B56" s="13"/>
      <c r="C56" s="13"/>
      <c r="D56" s="13"/>
      <c r="E56" s="13"/>
      <c r="F56" s="13"/>
      <c r="G56" s="13"/>
      <c r="H56" s="13"/>
      <c r="I56" s="14" t="s">
        <v>104</v>
      </c>
      <c r="J56" s="14"/>
      <c r="K56" s="14"/>
      <c r="L56" s="14" t="s">
        <v>116</v>
      </c>
      <c r="M56" s="14"/>
      <c r="N56" s="14"/>
      <c r="O56" s="51" t="s">
        <v>117</v>
      </c>
      <c r="P56" s="51"/>
      <c r="Q56" s="16">
        <f>7600</f>
        <v>7600</v>
      </c>
      <c r="R56" s="16"/>
      <c r="S56" s="16"/>
      <c r="T56" s="16">
        <f>7600</f>
        <v>7600</v>
      </c>
      <c r="U56" s="16"/>
      <c r="V56" s="16"/>
      <c r="W56" s="16"/>
      <c r="X56" s="16"/>
      <c r="Y56" s="49">
        <f>0</f>
        <v>0</v>
      </c>
      <c r="Z56" s="49"/>
    </row>
    <row r="57" spans="1:26" s="1" customFormat="1" ht="24" customHeight="1" x14ac:dyDescent="0.2">
      <c r="A57" s="13" t="s">
        <v>118</v>
      </c>
      <c r="B57" s="13"/>
      <c r="C57" s="13"/>
      <c r="D57" s="13"/>
      <c r="E57" s="13"/>
      <c r="F57" s="13"/>
      <c r="G57" s="13"/>
      <c r="H57" s="13"/>
      <c r="I57" s="14" t="s">
        <v>104</v>
      </c>
      <c r="J57" s="14"/>
      <c r="K57" s="14"/>
      <c r="L57" s="14" t="s">
        <v>119</v>
      </c>
      <c r="M57" s="14"/>
      <c r="N57" s="14"/>
      <c r="O57" s="51" t="s">
        <v>120</v>
      </c>
      <c r="P57" s="51"/>
      <c r="Q57" s="16">
        <f>327600</f>
        <v>327600</v>
      </c>
      <c r="R57" s="16"/>
      <c r="S57" s="16"/>
      <c r="T57" s="16">
        <f>327600</f>
        <v>327600</v>
      </c>
      <c r="U57" s="16"/>
      <c r="V57" s="16"/>
      <c r="W57" s="16"/>
      <c r="X57" s="16"/>
      <c r="Y57" s="49">
        <f>0</f>
        <v>0</v>
      </c>
      <c r="Z57" s="49"/>
    </row>
    <row r="58" spans="1:26" s="1" customFormat="1" ht="24" customHeight="1" x14ac:dyDescent="0.2">
      <c r="A58" s="13" t="s">
        <v>118</v>
      </c>
      <c r="B58" s="13"/>
      <c r="C58" s="13"/>
      <c r="D58" s="13"/>
      <c r="E58" s="13"/>
      <c r="F58" s="13"/>
      <c r="G58" s="13"/>
      <c r="H58" s="13"/>
      <c r="I58" s="14" t="s">
        <v>104</v>
      </c>
      <c r="J58" s="14"/>
      <c r="K58" s="14"/>
      <c r="L58" s="14" t="s">
        <v>121</v>
      </c>
      <c r="M58" s="14"/>
      <c r="N58" s="14"/>
      <c r="O58" s="51" t="s">
        <v>120</v>
      </c>
      <c r="P58" s="51"/>
      <c r="Q58" s="16">
        <f>75400</f>
        <v>75400</v>
      </c>
      <c r="R58" s="16"/>
      <c r="S58" s="16"/>
      <c r="T58" s="16">
        <f>75400</f>
        <v>75400</v>
      </c>
      <c r="U58" s="16"/>
      <c r="V58" s="16"/>
      <c r="W58" s="16"/>
      <c r="X58" s="16"/>
      <c r="Y58" s="49">
        <f>0</f>
        <v>0</v>
      </c>
      <c r="Z58" s="49"/>
    </row>
    <row r="59" spans="1:26" s="1" customFormat="1" ht="24" customHeight="1" x14ac:dyDescent="0.2">
      <c r="A59" s="13" t="s">
        <v>118</v>
      </c>
      <c r="B59" s="13"/>
      <c r="C59" s="13"/>
      <c r="D59" s="13"/>
      <c r="E59" s="13"/>
      <c r="F59" s="13"/>
      <c r="G59" s="13"/>
      <c r="H59" s="13"/>
      <c r="I59" s="14" t="s">
        <v>104</v>
      </c>
      <c r="J59" s="14"/>
      <c r="K59" s="14"/>
      <c r="L59" s="14" t="s">
        <v>122</v>
      </c>
      <c r="M59" s="14"/>
      <c r="N59" s="14"/>
      <c r="O59" s="51" t="s">
        <v>120</v>
      </c>
      <c r="P59" s="51"/>
      <c r="Q59" s="16">
        <f>196200</f>
        <v>196200</v>
      </c>
      <c r="R59" s="16"/>
      <c r="S59" s="16"/>
      <c r="T59" s="16">
        <f>196200</f>
        <v>196200</v>
      </c>
      <c r="U59" s="16"/>
      <c r="V59" s="16"/>
      <c r="W59" s="16"/>
      <c r="X59" s="16"/>
      <c r="Y59" s="49">
        <f>0</f>
        <v>0</v>
      </c>
      <c r="Z59" s="49"/>
    </row>
    <row r="60" spans="1:26" s="1" customFormat="1" ht="14.1" customHeight="1" x14ac:dyDescent="0.2">
      <c r="A60" s="13" t="s">
        <v>123</v>
      </c>
      <c r="B60" s="13"/>
      <c r="C60" s="13"/>
      <c r="D60" s="13"/>
      <c r="E60" s="13"/>
      <c r="F60" s="13"/>
      <c r="G60" s="13"/>
      <c r="H60" s="13"/>
      <c r="I60" s="14" t="s">
        <v>104</v>
      </c>
      <c r="J60" s="14"/>
      <c r="K60" s="14"/>
      <c r="L60" s="14" t="s">
        <v>124</v>
      </c>
      <c r="M60" s="14"/>
      <c r="N60" s="14"/>
      <c r="O60" s="51" t="s">
        <v>125</v>
      </c>
      <c r="P60" s="51"/>
      <c r="Q60" s="16">
        <f>1100000</f>
        <v>1100000</v>
      </c>
      <c r="R60" s="16"/>
      <c r="S60" s="16"/>
      <c r="T60" s="16">
        <f>943200</f>
        <v>943200</v>
      </c>
      <c r="U60" s="16"/>
      <c r="V60" s="16"/>
      <c r="W60" s="16"/>
      <c r="X60" s="16"/>
      <c r="Y60" s="49">
        <f>156800</f>
        <v>156800</v>
      </c>
      <c r="Z60" s="49"/>
    </row>
    <row r="61" spans="1:26" s="1" customFormat="1" ht="14.1" customHeight="1" x14ac:dyDescent="0.2">
      <c r="A61" s="13" t="s">
        <v>126</v>
      </c>
      <c r="B61" s="13"/>
      <c r="C61" s="13"/>
      <c r="D61" s="13"/>
      <c r="E61" s="13"/>
      <c r="F61" s="13"/>
      <c r="G61" s="13"/>
      <c r="H61" s="13"/>
      <c r="I61" s="14" t="s">
        <v>104</v>
      </c>
      <c r="J61" s="14"/>
      <c r="K61" s="14"/>
      <c r="L61" s="14" t="s">
        <v>127</v>
      </c>
      <c r="M61" s="14"/>
      <c r="N61" s="14"/>
      <c r="O61" s="51" t="s">
        <v>128</v>
      </c>
      <c r="P61" s="51"/>
      <c r="Q61" s="16">
        <f>50000</f>
        <v>50000</v>
      </c>
      <c r="R61" s="16"/>
      <c r="S61" s="16"/>
      <c r="T61" s="16">
        <f>10630</f>
        <v>10630</v>
      </c>
      <c r="U61" s="16"/>
      <c r="V61" s="16"/>
      <c r="W61" s="16"/>
      <c r="X61" s="16"/>
      <c r="Y61" s="49">
        <f>39370</f>
        <v>39370</v>
      </c>
      <c r="Z61" s="49"/>
    </row>
    <row r="62" spans="1:26" s="1" customFormat="1" ht="14.1" customHeight="1" x14ac:dyDescent="0.2">
      <c r="A62" s="13" t="s">
        <v>129</v>
      </c>
      <c r="B62" s="13"/>
      <c r="C62" s="13"/>
      <c r="D62" s="13"/>
      <c r="E62" s="13"/>
      <c r="F62" s="13"/>
      <c r="G62" s="13"/>
      <c r="H62" s="13"/>
      <c r="I62" s="14" t="s">
        <v>104</v>
      </c>
      <c r="J62" s="14"/>
      <c r="K62" s="14"/>
      <c r="L62" s="14" t="s">
        <v>130</v>
      </c>
      <c r="M62" s="14"/>
      <c r="N62" s="14"/>
      <c r="O62" s="51" t="s">
        <v>131</v>
      </c>
      <c r="P62" s="51"/>
      <c r="Q62" s="16">
        <f>56500</f>
        <v>56500</v>
      </c>
      <c r="R62" s="16"/>
      <c r="S62" s="16"/>
      <c r="T62" s="16">
        <f>49748.29</f>
        <v>49748.29</v>
      </c>
      <c r="U62" s="16"/>
      <c r="V62" s="16"/>
      <c r="W62" s="16"/>
      <c r="X62" s="16"/>
      <c r="Y62" s="49">
        <f>6751.71</f>
        <v>6751.71</v>
      </c>
      <c r="Z62" s="49"/>
    </row>
    <row r="63" spans="1:26" s="1" customFormat="1" ht="14.1" customHeight="1" x14ac:dyDescent="0.2">
      <c r="A63" s="13" t="s">
        <v>132</v>
      </c>
      <c r="B63" s="13"/>
      <c r="C63" s="13"/>
      <c r="D63" s="13"/>
      <c r="E63" s="13"/>
      <c r="F63" s="13"/>
      <c r="G63" s="13"/>
      <c r="H63" s="13"/>
      <c r="I63" s="14" t="s">
        <v>104</v>
      </c>
      <c r="J63" s="14"/>
      <c r="K63" s="14"/>
      <c r="L63" s="14" t="s">
        <v>130</v>
      </c>
      <c r="M63" s="14"/>
      <c r="N63" s="14"/>
      <c r="O63" s="51" t="s">
        <v>133</v>
      </c>
      <c r="P63" s="51"/>
      <c r="Q63" s="16">
        <f>8300</f>
        <v>8300</v>
      </c>
      <c r="R63" s="16"/>
      <c r="S63" s="16"/>
      <c r="T63" s="16">
        <f>8268.14</f>
        <v>8268.14</v>
      </c>
      <c r="U63" s="16"/>
      <c r="V63" s="16"/>
      <c r="W63" s="16"/>
      <c r="X63" s="16"/>
      <c r="Y63" s="49">
        <f>31.86</f>
        <v>31.86</v>
      </c>
      <c r="Z63" s="49"/>
    </row>
    <row r="64" spans="1:26" s="1" customFormat="1" ht="14.1" customHeight="1" x14ac:dyDescent="0.2">
      <c r="A64" s="13" t="s">
        <v>126</v>
      </c>
      <c r="B64" s="13"/>
      <c r="C64" s="13"/>
      <c r="D64" s="13"/>
      <c r="E64" s="13"/>
      <c r="F64" s="13"/>
      <c r="G64" s="13"/>
      <c r="H64" s="13"/>
      <c r="I64" s="14" t="s">
        <v>104</v>
      </c>
      <c r="J64" s="14"/>
      <c r="K64" s="14"/>
      <c r="L64" s="14" t="s">
        <v>130</v>
      </c>
      <c r="M64" s="14"/>
      <c r="N64" s="14"/>
      <c r="O64" s="51" t="s">
        <v>128</v>
      </c>
      <c r="P64" s="51"/>
      <c r="Q64" s="16">
        <f>207780.62</f>
        <v>207780.62</v>
      </c>
      <c r="R64" s="16"/>
      <c r="S64" s="16"/>
      <c r="T64" s="16">
        <f>207780.62</f>
        <v>207780.62</v>
      </c>
      <c r="U64" s="16"/>
      <c r="V64" s="16"/>
      <c r="W64" s="16"/>
      <c r="X64" s="16"/>
      <c r="Y64" s="49">
        <f>0</f>
        <v>0</v>
      </c>
      <c r="Z64" s="49"/>
    </row>
    <row r="65" spans="1:26" s="1" customFormat="1" ht="14.1" customHeight="1" x14ac:dyDescent="0.2">
      <c r="A65" s="13" t="s">
        <v>134</v>
      </c>
      <c r="B65" s="13"/>
      <c r="C65" s="13"/>
      <c r="D65" s="13"/>
      <c r="E65" s="13"/>
      <c r="F65" s="13"/>
      <c r="G65" s="13"/>
      <c r="H65" s="13"/>
      <c r="I65" s="14" t="s">
        <v>104</v>
      </c>
      <c r="J65" s="14"/>
      <c r="K65" s="14"/>
      <c r="L65" s="14" t="s">
        <v>130</v>
      </c>
      <c r="M65" s="14"/>
      <c r="N65" s="14"/>
      <c r="O65" s="51" t="s">
        <v>135</v>
      </c>
      <c r="P65" s="51"/>
      <c r="Q65" s="16">
        <f>76979.38</f>
        <v>76979.38</v>
      </c>
      <c r="R65" s="16"/>
      <c r="S65" s="16"/>
      <c r="T65" s="20" t="s">
        <v>39</v>
      </c>
      <c r="U65" s="20"/>
      <c r="V65" s="20"/>
      <c r="W65" s="20"/>
      <c r="X65" s="20"/>
      <c r="Y65" s="49">
        <f>76979.38</f>
        <v>76979.38</v>
      </c>
      <c r="Z65" s="49"/>
    </row>
    <row r="66" spans="1:26" s="1" customFormat="1" ht="14.1" customHeight="1" x14ac:dyDescent="0.2">
      <c r="A66" s="13" t="s">
        <v>115</v>
      </c>
      <c r="B66" s="13"/>
      <c r="C66" s="13"/>
      <c r="D66" s="13"/>
      <c r="E66" s="13"/>
      <c r="F66" s="13"/>
      <c r="G66" s="13"/>
      <c r="H66" s="13"/>
      <c r="I66" s="14" t="s">
        <v>104</v>
      </c>
      <c r="J66" s="14"/>
      <c r="K66" s="14"/>
      <c r="L66" s="14" t="s">
        <v>130</v>
      </c>
      <c r="M66" s="14"/>
      <c r="N66" s="14"/>
      <c r="O66" s="51" t="s">
        <v>117</v>
      </c>
      <c r="P66" s="51"/>
      <c r="Q66" s="16">
        <f>150440</f>
        <v>150440</v>
      </c>
      <c r="R66" s="16"/>
      <c r="S66" s="16"/>
      <c r="T66" s="16">
        <f>124227.34</f>
        <v>124227.34</v>
      </c>
      <c r="U66" s="16"/>
      <c r="V66" s="16"/>
      <c r="W66" s="16"/>
      <c r="X66" s="16"/>
      <c r="Y66" s="49">
        <f>26212.66</f>
        <v>26212.66</v>
      </c>
      <c r="Z66" s="49"/>
    </row>
    <row r="67" spans="1:26" s="1" customFormat="1" ht="14.1" customHeight="1" x14ac:dyDescent="0.2">
      <c r="A67" s="13" t="s">
        <v>115</v>
      </c>
      <c r="B67" s="13"/>
      <c r="C67" s="13"/>
      <c r="D67" s="13"/>
      <c r="E67" s="13"/>
      <c r="F67" s="13"/>
      <c r="G67" s="13"/>
      <c r="H67" s="13"/>
      <c r="I67" s="14" t="s">
        <v>104</v>
      </c>
      <c r="J67" s="14"/>
      <c r="K67" s="14"/>
      <c r="L67" s="14" t="s">
        <v>136</v>
      </c>
      <c r="M67" s="14"/>
      <c r="N67" s="14"/>
      <c r="O67" s="51" t="s">
        <v>117</v>
      </c>
      <c r="P67" s="51"/>
      <c r="Q67" s="16">
        <f>50000</f>
        <v>50000</v>
      </c>
      <c r="R67" s="16"/>
      <c r="S67" s="16"/>
      <c r="T67" s="20" t="s">
        <v>39</v>
      </c>
      <c r="U67" s="20"/>
      <c r="V67" s="20"/>
      <c r="W67" s="20"/>
      <c r="X67" s="20"/>
      <c r="Y67" s="49">
        <f>50000</f>
        <v>50000</v>
      </c>
      <c r="Z67" s="49"/>
    </row>
    <row r="68" spans="1:26" s="1" customFormat="1" ht="14.1" customHeight="1" x14ac:dyDescent="0.2">
      <c r="A68" s="13" t="s">
        <v>137</v>
      </c>
      <c r="B68" s="13"/>
      <c r="C68" s="13"/>
      <c r="D68" s="13"/>
      <c r="E68" s="13"/>
      <c r="F68" s="13"/>
      <c r="G68" s="13"/>
      <c r="H68" s="13"/>
      <c r="I68" s="14" t="s">
        <v>104</v>
      </c>
      <c r="J68" s="14"/>
      <c r="K68" s="14"/>
      <c r="L68" s="14" t="s">
        <v>138</v>
      </c>
      <c r="M68" s="14"/>
      <c r="N68" s="14"/>
      <c r="O68" s="51" t="s">
        <v>139</v>
      </c>
      <c r="P68" s="51"/>
      <c r="Q68" s="16">
        <f>7500</f>
        <v>7500</v>
      </c>
      <c r="R68" s="16"/>
      <c r="S68" s="16"/>
      <c r="T68" s="16">
        <f>7500</f>
        <v>7500</v>
      </c>
      <c r="U68" s="16"/>
      <c r="V68" s="16"/>
      <c r="W68" s="16"/>
      <c r="X68" s="16"/>
      <c r="Y68" s="49">
        <f>0</f>
        <v>0</v>
      </c>
      <c r="Z68" s="49"/>
    </row>
    <row r="69" spans="1:26" s="1" customFormat="1" ht="14.1" customHeight="1" x14ac:dyDescent="0.2">
      <c r="A69" s="13" t="s">
        <v>140</v>
      </c>
      <c r="B69" s="13"/>
      <c r="C69" s="13"/>
      <c r="D69" s="13"/>
      <c r="E69" s="13"/>
      <c r="F69" s="13"/>
      <c r="G69" s="13"/>
      <c r="H69" s="13"/>
      <c r="I69" s="14" t="s">
        <v>104</v>
      </c>
      <c r="J69" s="14"/>
      <c r="K69" s="14"/>
      <c r="L69" s="14" t="s">
        <v>138</v>
      </c>
      <c r="M69" s="14"/>
      <c r="N69" s="14"/>
      <c r="O69" s="51" t="s">
        <v>141</v>
      </c>
      <c r="P69" s="51"/>
      <c r="Q69" s="16">
        <f>20000</f>
        <v>20000</v>
      </c>
      <c r="R69" s="16"/>
      <c r="S69" s="16"/>
      <c r="T69" s="16">
        <f>16643.3</f>
        <v>16643.3</v>
      </c>
      <c r="U69" s="16"/>
      <c r="V69" s="16"/>
      <c r="W69" s="16"/>
      <c r="X69" s="16"/>
      <c r="Y69" s="49">
        <f>3356.7</f>
        <v>3356.7</v>
      </c>
      <c r="Z69" s="49"/>
    </row>
    <row r="70" spans="1:26" s="1" customFormat="1" ht="14.1" customHeight="1" x14ac:dyDescent="0.2">
      <c r="A70" s="13" t="s">
        <v>132</v>
      </c>
      <c r="B70" s="13"/>
      <c r="C70" s="13"/>
      <c r="D70" s="13"/>
      <c r="E70" s="13"/>
      <c r="F70" s="13"/>
      <c r="G70" s="13"/>
      <c r="H70" s="13"/>
      <c r="I70" s="14" t="s">
        <v>104</v>
      </c>
      <c r="J70" s="14"/>
      <c r="K70" s="14"/>
      <c r="L70" s="14" t="s">
        <v>138</v>
      </c>
      <c r="M70" s="14"/>
      <c r="N70" s="14"/>
      <c r="O70" s="51" t="s">
        <v>133</v>
      </c>
      <c r="P70" s="51"/>
      <c r="Q70" s="16">
        <f>400000</f>
        <v>400000</v>
      </c>
      <c r="R70" s="16"/>
      <c r="S70" s="16"/>
      <c r="T70" s="16">
        <f>59000</f>
        <v>59000</v>
      </c>
      <c r="U70" s="16"/>
      <c r="V70" s="16"/>
      <c r="W70" s="16"/>
      <c r="X70" s="16"/>
      <c r="Y70" s="49">
        <f>341000</f>
        <v>341000</v>
      </c>
      <c r="Z70" s="49"/>
    </row>
    <row r="71" spans="1:26" s="1" customFormat="1" ht="14.1" customHeight="1" x14ac:dyDescent="0.2">
      <c r="A71" s="13" t="s">
        <v>126</v>
      </c>
      <c r="B71" s="13"/>
      <c r="C71" s="13"/>
      <c r="D71" s="13"/>
      <c r="E71" s="13"/>
      <c r="F71" s="13"/>
      <c r="G71" s="13"/>
      <c r="H71" s="13"/>
      <c r="I71" s="14" t="s">
        <v>104</v>
      </c>
      <c r="J71" s="14"/>
      <c r="K71" s="14"/>
      <c r="L71" s="14" t="s">
        <v>138</v>
      </c>
      <c r="M71" s="14"/>
      <c r="N71" s="14"/>
      <c r="O71" s="51" t="s">
        <v>128</v>
      </c>
      <c r="P71" s="51"/>
      <c r="Q71" s="16">
        <f>1531135.13</f>
        <v>1531135.13</v>
      </c>
      <c r="R71" s="16"/>
      <c r="S71" s="16"/>
      <c r="T71" s="16">
        <f>755875.25</f>
        <v>755875.25</v>
      </c>
      <c r="U71" s="16"/>
      <c r="V71" s="16"/>
      <c r="W71" s="16"/>
      <c r="X71" s="16"/>
      <c r="Y71" s="49">
        <f>775259.88</f>
        <v>775259.88</v>
      </c>
      <c r="Z71" s="49"/>
    </row>
    <row r="72" spans="1:26" s="1" customFormat="1" ht="14.1" customHeight="1" x14ac:dyDescent="0.2">
      <c r="A72" s="13" t="s">
        <v>142</v>
      </c>
      <c r="B72" s="13"/>
      <c r="C72" s="13"/>
      <c r="D72" s="13"/>
      <c r="E72" s="13"/>
      <c r="F72" s="13"/>
      <c r="G72" s="13"/>
      <c r="H72" s="13"/>
      <c r="I72" s="14" t="s">
        <v>104</v>
      </c>
      <c r="J72" s="14"/>
      <c r="K72" s="14"/>
      <c r="L72" s="14" t="s">
        <v>138</v>
      </c>
      <c r="M72" s="14"/>
      <c r="N72" s="14"/>
      <c r="O72" s="51" t="s">
        <v>143</v>
      </c>
      <c r="P72" s="51"/>
      <c r="Q72" s="16">
        <f>402464.87</f>
        <v>402464.87</v>
      </c>
      <c r="R72" s="16"/>
      <c r="S72" s="16"/>
      <c r="T72" s="16">
        <f>372526.12</f>
        <v>372526.12</v>
      </c>
      <c r="U72" s="16"/>
      <c r="V72" s="16"/>
      <c r="W72" s="16"/>
      <c r="X72" s="16"/>
      <c r="Y72" s="49">
        <f>29938.75</f>
        <v>29938.75</v>
      </c>
      <c r="Z72" s="49"/>
    </row>
    <row r="73" spans="1:26" s="1" customFormat="1" ht="14.1" customHeight="1" x14ac:dyDescent="0.2">
      <c r="A73" s="13" t="s">
        <v>115</v>
      </c>
      <c r="B73" s="13"/>
      <c r="C73" s="13"/>
      <c r="D73" s="13"/>
      <c r="E73" s="13"/>
      <c r="F73" s="13"/>
      <c r="G73" s="13"/>
      <c r="H73" s="13"/>
      <c r="I73" s="14" t="s">
        <v>104</v>
      </c>
      <c r="J73" s="14"/>
      <c r="K73" s="14"/>
      <c r="L73" s="14" t="s">
        <v>138</v>
      </c>
      <c r="M73" s="14"/>
      <c r="N73" s="14"/>
      <c r="O73" s="51" t="s">
        <v>117</v>
      </c>
      <c r="P73" s="51"/>
      <c r="Q73" s="16">
        <f>145900</f>
        <v>145900</v>
      </c>
      <c r="R73" s="16"/>
      <c r="S73" s="16"/>
      <c r="T73" s="16">
        <f>98300</f>
        <v>98300</v>
      </c>
      <c r="U73" s="16"/>
      <c r="V73" s="16"/>
      <c r="W73" s="16"/>
      <c r="X73" s="16"/>
      <c r="Y73" s="49">
        <f>47600</f>
        <v>47600</v>
      </c>
      <c r="Z73" s="49"/>
    </row>
    <row r="74" spans="1:26" s="1" customFormat="1" ht="14.1" customHeight="1" x14ac:dyDescent="0.2">
      <c r="A74" s="13" t="s">
        <v>140</v>
      </c>
      <c r="B74" s="13"/>
      <c r="C74" s="13"/>
      <c r="D74" s="13"/>
      <c r="E74" s="13"/>
      <c r="F74" s="13"/>
      <c r="G74" s="13"/>
      <c r="H74" s="13"/>
      <c r="I74" s="14" t="s">
        <v>104</v>
      </c>
      <c r="J74" s="14"/>
      <c r="K74" s="14"/>
      <c r="L74" s="14" t="s">
        <v>144</v>
      </c>
      <c r="M74" s="14"/>
      <c r="N74" s="14"/>
      <c r="O74" s="51" t="s">
        <v>141</v>
      </c>
      <c r="P74" s="51"/>
      <c r="Q74" s="16">
        <f>300000</f>
        <v>300000</v>
      </c>
      <c r="R74" s="16"/>
      <c r="S74" s="16"/>
      <c r="T74" s="16">
        <f>245026.44</f>
        <v>245026.44</v>
      </c>
      <c r="U74" s="16"/>
      <c r="V74" s="16"/>
      <c r="W74" s="16"/>
      <c r="X74" s="16"/>
      <c r="Y74" s="49">
        <f>54973.56</f>
        <v>54973.56</v>
      </c>
      <c r="Z74" s="49"/>
    </row>
    <row r="75" spans="1:26" s="1" customFormat="1" ht="14.1" customHeight="1" x14ac:dyDescent="0.2">
      <c r="A75" s="13" t="s">
        <v>145</v>
      </c>
      <c r="B75" s="13"/>
      <c r="C75" s="13"/>
      <c r="D75" s="13"/>
      <c r="E75" s="13"/>
      <c r="F75" s="13"/>
      <c r="G75" s="13"/>
      <c r="H75" s="13"/>
      <c r="I75" s="14" t="s">
        <v>104</v>
      </c>
      <c r="J75" s="14"/>
      <c r="K75" s="14"/>
      <c r="L75" s="14" t="s">
        <v>146</v>
      </c>
      <c r="M75" s="14"/>
      <c r="N75" s="14"/>
      <c r="O75" s="51" t="s">
        <v>147</v>
      </c>
      <c r="P75" s="51"/>
      <c r="Q75" s="16">
        <f>200000</f>
        <v>200000</v>
      </c>
      <c r="R75" s="16"/>
      <c r="S75" s="16"/>
      <c r="T75" s="16">
        <f>84764</f>
        <v>84764</v>
      </c>
      <c r="U75" s="16"/>
      <c r="V75" s="16"/>
      <c r="W75" s="16"/>
      <c r="X75" s="16"/>
      <c r="Y75" s="49">
        <f>115236</f>
        <v>115236</v>
      </c>
      <c r="Z75" s="49"/>
    </row>
    <row r="76" spans="1:26" s="1" customFormat="1" ht="14.1" customHeight="1" x14ac:dyDescent="0.2">
      <c r="A76" s="13" t="s">
        <v>145</v>
      </c>
      <c r="B76" s="13"/>
      <c r="C76" s="13"/>
      <c r="D76" s="13"/>
      <c r="E76" s="13"/>
      <c r="F76" s="13"/>
      <c r="G76" s="13"/>
      <c r="H76" s="13"/>
      <c r="I76" s="14" t="s">
        <v>104</v>
      </c>
      <c r="J76" s="14"/>
      <c r="K76" s="14"/>
      <c r="L76" s="14" t="s">
        <v>148</v>
      </c>
      <c r="M76" s="14"/>
      <c r="N76" s="14"/>
      <c r="O76" s="51" t="s">
        <v>147</v>
      </c>
      <c r="P76" s="51"/>
      <c r="Q76" s="16">
        <f>43000</f>
        <v>43000</v>
      </c>
      <c r="R76" s="16"/>
      <c r="S76" s="16"/>
      <c r="T76" s="16">
        <f>36544</f>
        <v>36544</v>
      </c>
      <c r="U76" s="16"/>
      <c r="V76" s="16"/>
      <c r="W76" s="16"/>
      <c r="X76" s="16"/>
      <c r="Y76" s="49">
        <f>6456</f>
        <v>6456</v>
      </c>
      <c r="Z76" s="49"/>
    </row>
    <row r="77" spans="1:26" s="1" customFormat="1" ht="24" customHeight="1" x14ac:dyDescent="0.2">
      <c r="A77" s="13" t="s">
        <v>149</v>
      </c>
      <c r="B77" s="13"/>
      <c r="C77" s="13"/>
      <c r="D77" s="13"/>
      <c r="E77" s="13"/>
      <c r="F77" s="13"/>
      <c r="G77" s="13"/>
      <c r="H77" s="13"/>
      <c r="I77" s="14" t="s">
        <v>104</v>
      </c>
      <c r="J77" s="14"/>
      <c r="K77" s="14"/>
      <c r="L77" s="14" t="s">
        <v>150</v>
      </c>
      <c r="M77" s="14"/>
      <c r="N77" s="14"/>
      <c r="O77" s="51" t="s">
        <v>151</v>
      </c>
      <c r="P77" s="51"/>
      <c r="Q77" s="16">
        <f>4000</f>
        <v>4000</v>
      </c>
      <c r="R77" s="16"/>
      <c r="S77" s="16"/>
      <c r="T77" s="20" t="s">
        <v>39</v>
      </c>
      <c r="U77" s="20"/>
      <c r="V77" s="20"/>
      <c r="W77" s="20"/>
      <c r="X77" s="20"/>
      <c r="Y77" s="49">
        <f>4000</f>
        <v>4000</v>
      </c>
      <c r="Z77" s="49"/>
    </row>
    <row r="78" spans="1:26" s="1" customFormat="1" ht="24" customHeight="1" x14ac:dyDescent="0.2">
      <c r="A78" s="13" t="s">
        <v>152</v>
      </c>
      <c r="B78" s="13"/>
      <c r="C78" s="13"/>
      <c r="D78" s="13"/>
      <c r="E78" s="13"/>
      <c r="F78" s="13"/>
      <c r="G78" s="13"/>
      <c r="H78" s="13"/>
      <c r="I78" s="14" t="s">
        <v>104</v>
      </c>
      <c r="J78" s="14"/>
      <c r="K78" s="14"/>
      <c r="L78" s="14" t="s">
        <v>150</v>
      </c>
      <c r="M78" s="14"/>
      <c r="N78" s="14"/>
      <c r="O78" s="51" t="s">
        <v>153</v>
      </c>
      <c r="P78" s="51"/>
      <c r="Q78" s="16">
        <f>51000</f>
        <v>51000</v>
      </c>
      <c r="R78" s="16"/>
      <c r="S78" s="16"/>
      <c r="T78" s="16">
        <f>50282.92</f>
        <v>50282.92</v>
      </c>
      <c r="U78" s="16"/>
      <c r="V78" s="16"/>
      <c r="W78" s="16"/>
      <c r="X78" s="16"/>
      <c r="Y78" s="49">
        <f>717.08</f>
        <v>717.08</v>
      </c>
      <c r="Z78" s="49"/>
    </row>
    <row r="79" spans="1:26" s="1" customFormat="1" ht="14.1" customHeight="1" x14ac:dyDescent="0.2">
      <c r="A79" s="13" t="s">
        <v>123</v>
      </c>
      <c r="B79" s="13"/>
      <c r="C79" s="13"/>
      <c r="D79" s="13"/>
      <c r="E79" s="13"/>
      <c r="F79" s="13"/>
      <c r="G79" s="13"/>
      <c r="H79" s="13"/>
      <c r="I79" s="14" t="s">
        <v>104</v>
      </c>
      <c r="J79" s="14"/>
      <c r="K79" s="14"/>
      <c r="L79" s="14" t="s">
        <v>150</v>
      </c>
      <c r="M79" s="14"/>
      <c r="N79" s="14"/>
      <c r="O79" s="51" t="s">
        <v>125</v>
      </c>
      <c r="P79" s="51"/>
      <c r="Q79" s="16">
        <f>15000</f>
        <v>15000</v>
      </c>
      <c r="R79" s="16"/>
      <c r="S79" s="16"/>
      <c r="T79" s="16">
        <f>14614.8</f>
        <v>14614.8</v>
      </c>
      <c r="U79" s="16"/>
      <c r="V79" s="16"/>
      <c r="W79" s="16"/>
      <c r="X79" s="16"/>
      <c r="Y79" s="49">
        <f>385.2</f>
        <v>385.2</v>
      </c>
      <c r="Z79" s="49"/>
    </row>
    <row r="80" spans="1:26" s="1" customFormat="1" ht="14.1" customHeight="1" x14ac:dyDescent="0.2">
      <c r="A80" s="13" t="s">
        <v>126</v>
      </c>
      <c r="B80" s="13"/>
      <c r="C80" s="13"/>
      <c r="D80" s="13"/>
      <c r="E80" s="13"/>
      <c r="F80" s="13"/>
      <c r="G80" s="13"/>
      <c r="H80" s="13"/>
      <c r="I80" s="14" t="s">
        <v>104</v>
      </c>
      <c r="J80" s="14"/>
      <c r="K80" s="14"/>
      <c r="L80" s="14" t="s">
        <v>154</v>
      </c>
      <c r="M80" s="14"/>
      <c r="N80" s="14"/>
      <c r="O80" s="51" t="s">
        <v>128</v>
      </c>
      <c r="P80" s="51"/>
      <c r="Q80" s="16">
        <f>320000</f>
        <v>320000</v>
      </c>
      <c r="R80" s="16"/>
      <c r="S80" s="16"/>
      <c r="T80" s="16">
        <f>204237.4</f>
        <v>204237.4</v>
      </c>
      <c r="U80" s="16"/>
      <c r="V80" s="16"/>
      <c r="W80" s="16"/>
      <c r="X80" s="16"/>
      <c r="Y80" s="49">
        <f>115762.6</f>
        <v>115762.6</v>
      </c>
      <c r="Z80" s="49"/>
    </row>
    <row r="81" spans="1:26" s="1" customFormat="1" ht="24" customHeight="1" x14ac:dyDescent="0.2">
      <c r="A81" s="13" t="s">
        <v>155</v>
      </c>
      <c r="B81" s="13"/>
      <c r="C81" s="13"/>
      <c r="D81" s="13"/>
      <c r="E81" s="13"/>
      <c r="F81" s="13"/>
      <c r="G81" s="13"/>
      <c r="H81" s="13"/>
      <c r="I81" s="14" t="s">
        <v>104</v>
      </c>
      <c r="J81" s="14"/>
      <c r="K81" s="14"/>
      <c r="L81" s="14" t="s">
        <v>156</v>
      </c>
      <c r="M81" s="14"/>
      <c r="N81" s="14"/>
      <c r="O81" s="51" t="s">
        <v>157</v>
      </c>
      <c r="P81" s="51"/>
      <c r="Q81" s="16">
        <f>10000</f>
        <v>10000</v>
      </c>
      <c r="R81" s="16"/>
      <c r="S81" s="16"/>
      <c r="T81" s="20" t="s">
        <v>39</v>
      </c>
      <c r="U81" s="20"/>
      <c r="V81" s="20"/>
      <c r="W81" s="20"/>
      <c r="X81" s="20"/>
      <c r="Y81" s="49">
        <f>10000</f>
        <v>10000</v>
      </c>
      <c r="Z81" s="49"/>
    </row>
    <row r="82" spans="1:26" s="1" customFormat="1" ht="14.1" customHeight="1" x14ac:dyDescent="0.2">
      <c r="A82" s="13" t="s">
        <v>126</v>
      </c>
      <c r="B82" s="13"/>
      <c r="C82" s="13"/>
      <c r="D82" s="13"/>
      <c r="E82" s="13"/>
      <c r="F82" s="13"/>
      <c r="G82" s="13"/>
      <c r="H82" s="13"/>
      <c r="I82" s="14" t="s">
        <v>104</v>
      </c>
      <c r="J82" s="14"/>
      <c r="K82" s="14"/>
      <c r="L82" s="14" t="s">
        <v>158</v>
      </c>
      <c r="M82" s="14"/>
      <c r="N82" s="14"/>
      <c r="O82" s="51" t="s">
        <v>128</v>
      </c>
      <c r="P82" s="51"/>
      <c r="Q82" s="16">
        <f>200000</f>
        <v>200000</v>
      </c>
      <c r="R82" s="16"/>
      <c r="S82" s="16"/>
      <c r="T82" s="16">
        <f>109130</f>
        <v>109130</v>
      </c>
      <c r="U82" s="16"/>
      <c r="V82" s="16"/>
      <c r="W82" s="16"/>
      <c r="X82" s="16"/>
      <c r="Y82" s="49">
        <f>90870</f>
        <v>90870</v>
      </c>
      <c r="Z82" s="49"/>
    </row>
    <row r="83" spans="1:26" s="1" customFormat="1" ht="24" customHeight="1" x14ac:dyDescent="0.2">
      <c r="A83" s="13" t="s">
        <v>159</v>
      </c>
      <c r="B83" s="13"/>
      <c r="C83" s="13"/>
      <c r="D83" s="13"/>
      <c r="E83" s="13"/>
      <c r="F83" s="13"/>
      <c r="G83" s="13"/>
      <c r="H83" s="13"/>
      <c r="I83" s="14" t="s">
        <v>104</v>
      </c>
      <c r="J83" s="14"/>
      <c r="K83" s="14"/>
      <c r="L83" s="14" t="s">
        <v>160</v>
      </c>
      <c r="M83" s="14"/>
      <c r="N83" s="14"/>
      <c r="O83" s="51" t="s">
        <v>161</v>
      </c>
      <c r="P83" s="51"/>
      <c r="Q83" s="16">
        <f>205000</f>
        <v>205000</v>
      </c>
      <c r="R83" s="16"/>
      <c r="S83" s="16"/>
      <c r="T83" s="16">
        <f>205000</f>
        <v>205000</v>
      </c>
      <c r="U83" s="16"/>
      <c r="V83" s="16"/>
      <c r="W83" s="16"/>
      <c r="X83" s="16"/>
      <c r="Y83" s="49">
        <f>0</f>
        <v>0</v>
      </c>
      <c r="Z83" s="49"/>
    </row>
    <row r="84" spans="1:26" s="1" customFormat="1" ht="14.1" customHeight="1" x14ac:dyDescent="0.2">
      <c r="A84" s="13" t="s">
        <v>126</v>
      </c>
      <c r="B84" s="13"/>
      <c r="C84" s="13"/>
      <c r="D84" s="13"/>
      <c r="E84" s="13"/>
      <c r="F84" s="13"/>
      <c r="G84" s="13"/>
      <c r="H84" s="13"/>
      <c r="I84" s="14" t="s">
        <v>104</v>
      </c>
      <c r="J84" s="14"/>
      <c r="K84" s="14"/>
      <c r="L84" s="14" t="s">
        <v>162</v>
      </c>
      <c r="M84" s="14"/>
      <c r="N84" s="14"/>
      <c r="O84" s="51" t="s">
        <v>128</v>
      </c>
      <c r="P84" s="51"/>
      <c r="Q84" s="16">
        <f>0</f>
        <v>0</v>
      </c>
      <c r="R84" s="16"/>
      <c r="S84" s="16"/>
      <c r="T84" s="20" t="s">
        <v>39</v>
      </c>
      <c r="U84" s="20"/>
      <c r="V84" s="20"/>
      <c r="W84" s="20"/>
      <c r="X84" s="20"/>
      <c r="Y84" s="52" t="s">
        <v>39</v>
      </c>
      <c r="Z84" s="52"/>
    </row>
    <row r="85" spans="1:26" s="1" customFormat="1" ht="14.1" customHeight="1" x14ac:dyDescent="0.2">
      <c r="A85" s="13" t="s">
        <v>126</v>
      </c>
      <c r="B85" s="13"/>
      <c r="C85" s="13"/>
      <c r="D85" s="13"/>
      <c r="E85" s="13"/>
      <c r="F85" s="13"/>
      <c r="G85" s="13"/>
      <c r="H85" s="13"/>
      <c r="I85" s="14" t="s">
        <v>104</v>
      </c>
      <c r="J85" s="14"/>
      <c r="K85" s="14"/>
      <c r="L85" s="14" t="s">
        <v>163</v>
      </c>
      <c r="M85" s="14"/>
      <c r="N85" s="14"/>
      <c r="O85" s="51" t="s">
        <v>128</v>
      </c>
      <c r="P85" s="51"/>
      <c r="Q85" s="16">
        <f>192000</f>
        <v>192000</v>
      </c>
      <c r="R85" s="16"/>
      <c r="S85" s="16"/>
      <c r="T85" s="16">
        <f>93190.5</f>
        <v>93190.5</v>
      </c>
      <c r="U85" s="16"/>
      <c r="V85" s="16"/>
      <c r="W85" s="16"/>
      <c r="X85" s="16"/>
      <c r="Y85" s="49">
        <f>98809.5</f>
        <v>98809.5</v>
      </c>
      <c r="Z85" s="49"/>
    </row>
    <row r="86" spans="1:26" s="1" customFormat="1" ht="14.1" customHeight="1" x14ac:dyDescent="0.2">
      <c r="A86" s="13" t="s">
        <v>105</v>
      </c>
      <c r="B86" s="13"/>
      <c r="C86" s="13"/>
      <c r="D86" s="13"/>
      <c r="E86" s="13"/>
      <c r="F86" s="13"/>
      <c r="G86" s="13"/>
      <c r="H86" s="13"/>
      <c r="I86" s="14" t="s">
        <v>104</v>
      </c>
      <c r="J86" s="14"/>
      <c r="K86" s="14"/>
      <c r="L86" s="14" t="s">
        <v>164</v>
      </c>
      <c r="M86" s="14"/>
      <c r="N86" s="14"/>
      <c r="O86" s="51" t="s">
        <v>107</v>
      </c>
      <c r="P86" s="51"/>
      <c r="Q86" s="16">
        <f>450671.14</f>
        <v>450671.14</v>
      </c>
      <c r="R86" s="16"/>
      <c r="S86" s="16"/>
      <c r="T86" s="16">
        <f>450671.14</f>
        <v>450671.14</v>
      </c>
      <c r="U86" s="16"/>
      <c r="V86" s="16"/>
      <c r="W86" s="16"/>
      <c r="X86" s="16"/>
      <c r="Y86" s="49">
        <f>0</f>
        <v>0</v>
      </c>
      <c r="Z86" s="49"/>
    </row>
    <row r="87" spans="1:26" s="1" customFormat="1" ht="14.1" customHeight="1" x14ac:dyDescent="0.2">
      <c r="A87" s="13" t="s">
        <v>108</v>
      </c>
      <c r="B87" s="13"/>
      <c r="C87" s="13"/>
      <c r="D87" s="13"/>
      <c r="E87" s="13"/>
      <c r="F87" s="13"/>
      <c r="G87" s="13"/>
      <c r="H87" s="13"/>
      <c r="I87" s="14" t="s">
        <v>104</v>
      </c>
      <c r="J87" s="14"/>
      <c r="K87" s="14"/>
      <c r="L87" s="14" t="s">
        <v>164</v>
      </c>
      <c r="M87" s="14"/>
      <c r="N87" s="14"/>
      <c r="O87" s="51" t="s">
        <v>109</v>
      </c>
      <c r="P87" s="51"/>
      <c r="Q87" s="16">
        <f>6394.43</f>
        <v>6394.43</v>
      </c>
      <c r="R87" s="16"/>
      <c r="S87" s="16"/>
      <c r="T87" s="16">
        <f>6394.43</f>
        <v>6394.43</v>
      </c>
      <c r="U87" s="16"/>
      <c r="V87" s="16"/>
      <c r="W87" s="16"/>
      <c r="X87" s="16"/>
      <c r="Y87" s="49">
        <f>0</f>
        <v>0</v>
      </c>
      <c r="Z87" s="49"/>
    </row>
    <row r="88" spans="1:26" s="1" customFormat="1" ht="14.1" customHeight="1" x14ac:dyDescent="0.2">
      <c r="A88" s="13" t="s">
        <v>110</v>
      </c>
      <c r="B88" s="13"/>
      <c r="C88" s="13"/>
      <c r="D88" s="13"/>
      <c r="E88" s="13"/>
      <c r="F88" s="13"/>
      <c r="G88" s="13"/>
      <c r="H88" s="13"/>
      <c r="I88" s="14" t="s">
        <v>104</v>
      </c>
      <c r="J88" s="14"/>
      <c r="K88" s="14"/>
      <c r="L88" s="14" t="s">
        <v>165</v>
      </c>
      <c r="M88" s="14"/>
      <c r="N88" s="14"/>
      <c r="O88" s="51" t="s">
        <v>112</v>
      </c>
      <c r="P88" s="51"/>
      <c r="Q88" s="16">
        <f>136034.43</f>
        <v>136034.43</v>
      </c>
      <c r="R88" s="16"/>
      <c r="S88" s="16"/>
      <c r="T88" s="16">
        <f>136034.43</f>
        <v>136034.43</v>
      </c>
      <c r="U88" s="16"/>
      <c r="V88" s="16"/>
      <c r="W88" s="16"/>
      <c r="X88" s="16"/>
      <c r="Y88" s="49">
        <f>0</f>
        <v>0</v>
      </c>
      <c r="Z88" s="49"/>
    </row>
    <row r="89" spans="1:26" s="1" customFormat="1" ht="14.1" customHeight="1" x14ac:dyDescent="0.2">
      <c r="A89" s="13" t="s">
        <v>132</v>
      </c>
      <c r="B89" s="13"/>
      <c r="C89" s="13"/>
      <c r="D89" s="13"/>
      <c r="E89" s="13"/>
      <c r="F89" s="13"/>
      <c r="G89" s="13"/>
      <c r="H89" s="13"/>
      <c r="I89" s="14" t="s">
        <v>104</v>
      </c>
      <c r="J89" s="14"/>
      <c r="K89" s="14"/>
      <c r="L89" s="14" t="s">
        <v>166</v>
      </c>
      <c r="M89" s="14"/>
      <c r="N89" s="14"/>
      <c r="O89" s="51" t="s">
        <v>133</v>
      </c>
      <c r="P89" s="51"/>
      <c r="Q89" s="16">
        <f>26500</f>
        <v>26500</v>
      </c>
      <c r="R89" s="16"/>
      <c r="S89" s="16"/>
      <c r="T89" s="16">
        <f>22740</f>
        <v>22740</v>
      </c>
      <c r="U89" s="16"/>
      <c r="V89" s="16"/>
      <c r="W89" s="16"/>
      <c r="X89" s="16"/>
      <c r="Y89" s="49">
        <f>3760</f>
        <v>3760</v>
      </c>
      <c r="Z89" s="49"/>
    </row>
    <row r="90" spans="1:26" s="1" customFormat="1" ht="14.1" customHeight="1" x14ac:dyDescent="0.2">
      <c r="A90" s="13" t="s">
        <v>126</v>
      </c>
      <c r="B90" s="13"/>
      <c r="C90" s="13"/>
      <c r="D90" s="13"/>
      <c r="E90" s="13"/>
      <c r="F90" s="13"/>
      <c r="G90" s="13"/>
      <c r="H90" s="13"/>
      <c r="I90" s="14" t="s">
        <v>104</v>
      </c>
      <c r="J90" s="14"/>
      <c r="K90" s="14"/>
      <c r="L90" s="14" t="s">
        <v>166</v>
      </c>
      <c r="M90" s="14"/>
      <c r="N90" s="14"/>
      <c r="O90" s="51" t="s">
        <v>128</v>
      </c>
      <c r="P90" s="51"/>
      <c r="Q90" s="16">
        <f>4200</f>
        <v>4200</v>
      </c>
      <c r="R90" s="16"/>
      <c r="S90" s="16"/>
      <c r="T90" s="16">
        <f>4200</f>
        <v>4200</v>
      </c>
      <c r="U90" s="16"/>
      <c r="V90" s="16"/>
      <c r="W90" s="16"/>
      <c r="X90" s="16"/>
      <c r="Y90" s="49">
        <f>0</f>
        <v>0</v>
      </c>
      <c r="Z90" s="49"/>
    </row>
    <row r="91" spans="1:26" s="1" customFormat="1" ht="14.1" customHeight="1" x14ac:dyDescent="0.2">
      <c r="A91" s="13" t="s">
        <v>134</v>
      </c>
      <c r="B91" s="13"/>
      <c r="C91" s="13"/>
      <c r="D91" s="13"/>
      <c r="E91" s="13"/>
      <c r="F91" s="13"/>
      <c r="G91" s="13"/>
      <c r="H91" s="13"/>
      <c r="I91" s="14" t="s">
        <v>104</v>
      </c>
      <c r="J91" s="14"/>
      <c r="K91" s="14"/>
      <c r="L91" s="14" t="s">
        <v>166</v>
      </c>
      <c r="M91" s="14"/>
      <c r="N91" s="14"/>
      <c r="O91" s="51" t="s">
        <v>135</v>
      </c>
      <c r="P91" s="51"/>
      <c r="Q91" s="16">
        <f>3300</f>
        <v>3300</v>
      </c>
      <c r="R91" s="16"/>
      <c r="S91" s="16"/>
      <c r="T91" s="16">
        <f>3300</f>
        <v>3300</v>
      </c>
      <c r="U91" s="16"/>
      <c r="V91" s="16"/>
      <c r="W91" s="16"/>
      <c r="X91" s="16"/>
      <c r="Y91" s="49">
        <f>0</f>
        <v>0</v>
      </c>
      <c r="Z91" s="49"/>
    </row>
    <row r="92" spans="1:26" s="1" customFormat="1" ht="24" customHeight="1" x14ac:dyDescent="0.2">
      <c r="A92" s="13" t="s">
        <v>118</v>
      </c>
      <c r="B92" s="13"/>
      <c r="C92" s="13"/>
      <c r="D92" s="13"/>
      <c r="E92" s="13"/>
      <c r="F92" s="13"/>
      <c r="G92" s="13"/>
      <c r="H92" s="13"/>
      <c r="I92" s="14" t="s">
        <v>104</v>
      </c>
      <c r="J92" s="14"/>
      <c r="K92" s="14"/>
      <c r="L92" s="14" t="s">
        <v>167</v>
      </c>
      <c r="M92" s="14"/>
      <c r="N92" s="14"/>
      <c r="O92" s="51" t="s">
        <v>120</v>
      </c>
      <c r="P92" s="51"/>
      <c r="Q92" s="16">
        <f>1844600</f>
        <v>1844600</v>
      </c>
      <c r="R92" s="16"/>
      <c r="S92" s="16"/>
      <c r="T92" s="16">
        <f>1844600</f>
        <v>1844600</v>
      </c>
      <c r="U92" s="16"/>
      <c r="V92" s="16"/>
      <c r="W92" s="16"/>
      <c r="X92" s="16"/>
      <c r="Y92" s="49">
        <f>0</f>
        <v>0</v>
      </c>
      <c r="Z92" s="49"/>
    </row>
    <row r="93" spans="1:26" s="1" customFormat="1" ht="14.1" customHeight="1" x14ac:dyDescent="0.2">
      <c r="A93" s="13" t="s">
        <v>126</v>
      </c>
      <c r="B93" s="13"/>
      <c r="C93" s="13"/>
      <c r="D93" s="13"/>
      <c r="E93" s="13"/>
      <c r="F93" s="13"/>
      <c r="G93" s="13"/>
      <c r="H93" s="13"/>
      <c r="I93" s="14" t="s">
        <v>104</v>
      </c>
      <c r="J93" s="14"/>
      <c r="K93" s="14"/>
      <c r="L93" s="14" t="s">
        <v>168</v>
      </c>
      <c r="M93" s="14"/>
      <c r="N93" s="14"/>
      <c r="O93" s="51" t="s">
        <v>128</v>
      </c>
      <c r="P93" s="51"/>
      <c r="Q93" s="16">
        <f>20000</f>
        <v>20000</v>
      </c>
      <c r="R93" s="16"/>
      <c r="S93" s="16"/>
      <c r="T93" s="16">
        <f>20000</f>
        <v>20000</v>
      </c>
      <c r="U93" s="16"/>
      <c r="V93" s="16"/>
      <c r="W93" s="16"/>
      <c r="X93" s="16"/>
      <c r="Y93" s="49">
        <f>0</f>
        <v>0</v>
      </c>
      <c r="Z93" s="49"/>
    </row>
    <row r="94" spans="1:26" s="1" customFormat="1" ht="14.1" customHeight="1" x14ac:dyDescent="0.2">
      <c r="A94" s="13" t="s">
        <v>126</v>
      </c>
      <c r="B94" s="13"/>
      <c r="C94" s="13"/>
      <c r="D94" s="13"/>
      <c r="E94" s="13"/>
      <c r="F94" s="13"/>
      <c r="G94" s="13"/>
      <c r="H94" s="13"/>
      <c r="I94" s="14" t="s">
        <v>104</v>
      </c>
      <c r="J94" s="14"/>
      <c r="K94" s="14"/>
      <c r="L94" s="14" t="s">
        <v>169</v>
      </c>
      <c r="M94" s="14"/>
      <c r="N94" s="14"/>
      <c r="O94" s="51" t="s">
        <v>128</v>
      </c>
      <c r="P94" s="51"/>
      <c r="Q94" s="16">
        <f>150000</f>
        <v>150000</v>
      </c>
      <c r="R94" s="16"/>
      <c r="S94" s="16"/>
      <c r="T94" s="16">
        <f>104520</f>
        <v>104520</v>
      </c>
      <c r="U94" s="16"/>
      <c r="V94" s="16"/>
      <c r="W94" s="16"/>
      <c r="X94" s="16"/>
      <c r="Y94" s="49">
        <f>45480</f>
        <v>45480</v>
      </c>
      <c r="Z94" s="49"/>
    </row>
    <row r="95" spans="1:26" s="1" customFormat="1" ht="14.1" customHeight="1" x14ac:dyDescent="0.2">
      <c r="A95" s="13" t="s">
        <v>142</v>
      </c>
      <c r="B95" s="13"/>
      <c r="C95" s="13"/>
      <c r="D95" s="13"/>
      <c r="E95" s="13"/>
      <c r="F95" s="13"/>
      <c r="G95" s="13"/>
      <c r="H95" s="13"/>
      <c r="I95" s="14" t="s">
        <v>104</v>
      </c>
      <c r="J95" s="14"/>
      <c r="K95" s="14"/>
      <c r="L95" s="14" t="s">
        <v>169</v>
      </c>
      <c r="M95" s="14"/>
      <c r="N95" s="14"/>
      <c r="O95" s="51" t="s">
        <v>143</v>
      </c>
      <c r="P95" s="51"/>
      <c r="Q95" s="16">
        <f>0</f>
        <v>0</v>
      </c>
      <c r="R95" s="16"/>
      <c r="S95" s="16"/>
      <c r="T95" s="20" t="s">
        <v>39</v>
      </c>
      <c r="U95" s="20"/>
      <c r="V95" s="20"/>
      <c r="W95" s="20"/>
      <c r="X95" s="20"/>
      <c r="Y95" s="52" t="s">
        <v>39</v>
      </c>
      <c r="Z95" s="52"/>
    </row>
    <row r="96" spans="1:26" s="1" customFormat="1" ht="14.1" customHeight="1" x14ac:dyDescent="0.2">
      <c r="A96" s="13" t="s">
        <v>126</v>
      </c>
      <c r="B96" s="13"/>
      <c r="C96" s="13"/>
      <c r="D96" s="13"/>
      <c r="E96" s="13"/>
      <c r="F96" s="13"/>
      <c r="G96" s="13"/>
      <c r="H96" s="13"/>
      <c r="I96" s="14" t="s">
        <v>104</v>
      </c>
      <c r="J96" s="14"/>
      <c r="K96" s="14"/>
      <c r="L96" s="14" t="s">
        <v>170</v>
      </c>
      <c r="M96" s="14"/>
      <c r="N96" s="14"/>
      <c r="O96" s="51" t="s">
        <v>128</v>
      </c>
      <c r="P96" s="51"/>
      <c r="Q96" s="16">
        <f>5000</f>
        <v>5000</v>
      </c>
      <c r="R96" s="16"/>
      <c r="S96" s="16"/>
      <c r="T96" s="20" t="s">
        <v>39</v>
      </c>
      <c r="U96" s="20"/>
      <c r="V96" s="20"/>
      <c r="W96" s="20"/>
      <c r="X96" s="20"/>
      <c r="Y96" s="49">
        <f>5000</f>
        <v>5000</v>
      </c>
      <c r="Z96" s="49"/>
    </row>
    <row r="97" spans="1:26" s="1" customFormat="1" ht="14.1" customHeight="1" x14ac:dyDescent="0.2">
      <c r="A97" s="13" t="s">
        <v>126</v>
      </c>
      <c r="B97" s="13"/>
      <c r="C97" s="13"/>
      <c r="D97" s="13"/>
      <c r="E97" s="13"/>
      <c r="F97" s="13"/>
      <c r="G97" s="13"/>
      <c r="H97" s="13"/>
      <c r="I97" s="14" t="s">
        <v>104</v>
      </c>
      <c r="J97" s="14"/>
      <c r="K97" s="14"/>
      <c r="L97" s="14" t="s">
        <v>171</v>
      </c>
      <c r="M97" s="14"/>
      <c r="N97" s="14"/>
      <c r="O97" s="51" t="s">
        <v>128</v>
      </c>
      <c r="P97" s="51"/>
      <c r="Q97" s="16">
        <f>99000</f>
        <v>99000</v>
      </c>
      <c r="R97" s="16"/>
      <c r="S97" s="16"/>
      <c r="T97" s="16">
        <f>96776.4</f>
        <v>96776.4</v>
      </c>
      <c r="U97" s="16"/>
      <c r="V97" s="16"/>
      <c r="W97" s="16"/>
      <c r="X97" s="16"/>
      <c r="Y97" s="49">
        <f>2223.6</f>
        <v>2223.6</v>
      </c>
      <c r="Z97" s="49"/>
    </row>
    <row r="98" spans="1:26" s="1" customFormat="1" ht="14.1" customHeight="1" x14ac:dyDescent="0.2">
      <c r="A98" s="13" t="s">
        <v>137</v>
      </c>
      <c r="B98" s="13"/>
      <c r="C98" s="13"/>
      <c r="D98" s="13"/>
      <c r="E98" s="13"/>
      <c r="F98" s="13"/>
      <c r="G98" s="13"/>
      <c r="H98" s="13"/>
      <c r="I98" s="14" t="s">
        <v>104</v>
      </c>
      <c r="J98" s="14"/>
      <c r="K98" s="14"/>
      <c r="L98" s="14" t="s">
        <v>172</v>
      </c>
      <c r="M98" s="14"/>
      <c r="N98" s="14"/>
      <c r="O98" s="51" t="s">
        <v>139</v>
      </c>
      <c r="P98" s="51"/>
      <c r="Q98" s="16">
        <f>610000</f>
        <v>610000</v>
      </c>
      <c r="R98" s="16"/>
      <c r="S98" s="16"/>
      <c r="T98" s="16">
        <f>82533.76</f>
        <v>82533.759999999995</v>
      </c>
      <c r="U98" s="16"/>
      <c r="V98" s="16"/>
      <c r="W98" s="16"/>
      <c r="X98" s="16"/>
      <c r="Y98" s="49">
        <f>527466.24</f>
        <v>527466.23999999999</v>
      </c>
      <c r="Z98" s="49"/>
    </row>
    <row r="99" spans="1:26" s="1" customFormat="1" ht="14.1" customHeight="1" x14ac:dyDescent="0.2">
      <c r="A99" s="13" t="s">
        <v>132</v>
      </c>
      <c r="B99" s="13"/>
      <c r="C99" s="13"/>
      <c r="D99" s="13"/>
      <c r="E99" s="13"/>
      <c r="F99" s="13"/>
      <c r="G99" s="13"/>
      <c r="H99" s="13"/>
      <c r="I99" s="14" t="s">
        <v>104</v>
      </c>
      <c r="J99" s="14"/>
      <c r="K99" s="14"/>
      <c r="L99" s="14" t="s">
        <v>172</v>
      </c>
      <c r="M99" s="14"/>
      <c r="N99" s="14"/>
      <c r="O99" s="51" t="s">
        <v>133</v>
      </c>
      <c r="P99" s="51"/>
      <c r="Q99" s="16">
        <f>235421</f>
        <v>235421</v>
      </c>
      <c r="R99" s="16"/>
      <c r="S99" s="16"/>
      <c r="T99" s="16">
        <f>30800</f>
        <v>30800</v>
      </c>
      <c r="U99" s="16"/>
      <c r="V99" s="16"/>
      <c r="W99" s="16"/>
      <c r="X99" s="16"/>
      <c r="Y99" s="49">
        <f>204621</f>
        <v>204621</v>
      </c>
      <c r="Z99" s="49"/>
    </row>
    <row r="100" spans="1:26" s="1" customFormat="1" ht="14.1" customHeight="1" x14ac:dyDescent="0.2">
      <c r="A100" s="13" t="s">
        <v>126</v>
      </c>
      <c r="B100" s="13"/>
      <c r="C100" s="13"/>
      <c r="D100" s="13"/>
      <c r="E100" s="13"/>
      <c r="F100" s="13"/>
      <c r="G100" s="13"/>
      <c r="H100" s="13"/>
      <c r="I100" s="14" t="s">
        <v>104</v>
      </c>
      <c r="J100" s="14"/>
      <c r="K100" s="14"/>
      <c r="L100" s="14" t="s">
        <v>172</v>
      </c>
      <c r="M100" s="14"/>
      <c r="N100" s="14"/>
      <c r="O100" s="51" t="s">
        <v>128</v>
      </c>
      <c r="P100" s="51"/>
      <c r="Q100" s="16">
        <f>4754022</f>
        <v>4754022</v>
      </c>
      <c r="R100" s="16"/>
      <c r="S100" s="16"/>
      <c r="T100" s="16">
        <f>4753644.04</f>
        <v>4753644.04</v>
      </c>
      <c r="U100" s="16"/>
      <c r="V100" s="16"/>
      <c r="W100" s="16"/>
      <c r="X100" s="16"/>
      <c r="Y100" s="49">
        <f>377.96</f>
        <v>377.96</v>
      </c>
      <c r="Z100" s="49"/>
    </row>
    <row r="101" spans="1:26" s="1" customFormat="1" ht="14.1" customHeight="1" x14ac:dyDescent="0.2">
      <c r="A101" s="13" t="s">
        <v>134</v>
      </c>
      <c r="B101" s="13"/>
      <c r="C101" s="13"/>
      <c r="D101" s="13"/>
      <c r="E101" s="13"/>
      <c r="F101" s="13"/>
      <c r="G101" s="13"/>
      <c r="H101" s="13"/>
      <c r="I101" s="14" t="s">
        <v>104</v>
      </c>
      <c r="J101" s="14"/>
      <c r="K101" s="14"/>
      <c r="L101" s="14" t="s">
        <v>172</v>
      </c>
      <c r="M101" s="14"/>
      <c r="N101" s="14"/>
      <c r="O101" s="51" t="s">
        <v>135</v>
      </c>
      <c r="P101" s="51"/>
      <c r="Q101" s="16">
        <f>350000</f>
        <v>350000</v>
      </c>
      <c r="R101" s="16"/>
      <c r="S101" s="16"/>
      <c r="T101" s="20" t="s">
        <v>39</v>
      </c>
      <c r="U101" s="20"/>
      <c r="V101" s="20"/>
      <c r="W101" s="20"/>
      <c r="X101" s="20"/>
      <c r="Y101" s="49">
        <f>350000</f>
        <v>350000</v>
      </c>
      <c r="Z101" s="49"/>
    </row>
    <row r="102" spans="1:26" s="1" customFormat="1" ht="14.1" customHeight="1" x14ac:dyDescent="0.2">
      <c r="A102" s="13" t="s">
        <v>115</v>
      </c>
      <c r="B102" s="13"/>
      <c r="C102" s="13"/>
      <c r="D102" s="13"/>
      <c r="E102" s="13"/>
      <c r="F102" s="13"/>
      <c r="G102" s="13"/>
      <c r="H102" s="13"/>
      <c r="I102" s="14" t="s">
        <v>104</v>
      </c>
      <c r="J102" s="14"/>
      <c r="K102" s="14"/>
      <c r="L102" s="14" t="s">
        <v>172</v>
      </c>
      <c r="M102" s="14"/>
      <c r="N102" s="14"/>
      <c r="O102" s="51" t="s">
        <v>117</v>
      </c>
      <c r="P102" s="51"/>
      <c r="Q102" s="16">
        <f>2724979</f>
        <v>2724979</v>
      </c>
      <c r="R102" s="16"/>
      <c r="S102" s="16"/>
      <c r="T102" s="16">
        <f>2126179</f>
        <v>2126179</v>
      </c>
      <c r="U102" s="16"/>
      <c r="V102" s="16"/>
      <c r="W102" s="16"/>
      <c r="X102" s="16"/>
      <c r="Y102" s="49">
        <f>598800</f>
        <v>598800</v>
      </c>
      <c r="Z102" s="49"/>
    </row>
    <row r="103" spans="1:26" s="1" customFormat="1" ht="14.1" customHeight="1" x14ac:dyDescent="0.2">
      <c r="A103" s="13" t="s">
        <v>126</v>
      </c>
      <c r="B103" s="13"/>
      <c r="C103" s="13"/>
      <c r="D103" s="13"/>
      <c r="E103" s="13"/>
      <c r="F103" s="13"/>
      <c r="G103" s="13"/>
      <c r="H103" s="13"/>
      <c r="I103" s="14" t="s">
        <v>104</v>
      </c>
      <c r="J103" s="14"/>
      <c r="K103" s="14"/>
      <c r="L103" s="14" t="s">
        <v>173</v>
      </c>
      <c r="M103" s="14"/>
      <c r="N103" s="14"/>
      <c r="O103" s="51" t="s">
        <v>128</v>
      </c>
      <c r="P103" s="51"/>
      <c r="Q103" s="16">
        <f>1000000</f>
        <v>1000000</v>
      </c>
      <c r="R103" s="16"/>
      <c r="S103" s="16"/>
      <c r="T103" s="16">
        <f>507693.32</f>
        <v>507693.32</v>
      </c>
      <c r="U103" s="16"/>
      <c r="V103" s="16"/>
      <c r="W103" s="16"/>
      <c r="X103" s="16"/>
      <c r="Y103" s="49">
        <f>492306.68</f>
        <v>492306.68</v>
      </c>
      <c r="Z103" s="49"/>
    </row>
    <row r="104" spans="1:26" s="1" customFormat="1" ht="14.1" customHeight="1" x14ac:dyDescent="0.2">
      <c r="A104" s="13" t="s">
        <v>126</v>
      </c>
      <c r="B104" s="13"/>
      <c r="C104" s="13"/>
      <c r="D104" s="13"/>
      <c r="E104" s="13"/>
      <c r="F104" s="13"/>
      <c r="G104" s="13"/>
      <c r="H104" s="13"/>
      <c r="I104" s="14" t="s">
        <v>104</v>
      </c>
      <c r="J104" s="14"/>
      <c r="K104" s="14"/>
      <c r="L104" s="14" t="s">
        <v>174</v>
      </c>
      <c r="M104" s="14"/>
      <c r="N104" s="14"/>
      <c r="O104" s="51" t="s">
        <v>128</v>
      </c>
      <c r="P104" s="51"/>
      <c r="Q104" s="16">
        <f>180000</f>
        <v>180000</v>
      </c>
      <c r="R104" s="16"/>
      <c r="S104" s="16"/>
      <c r="T104" s="16">
        <f>180000</f>
        <v>180000</v>
      </c>
      <c r="U104" s="16"/>
      <c r="V104" s="16"/>
      <c r="W104" s="16"/>
      <c r="X104" s="16"/>
      <c r="Y104" s="49">
        <f>0</f>
        <v>0</v>
      </c>
      <c r="Z104" s="49"/>
    </row>
    <row r="105" spans="1:26" s="1" customFormat="1" ht="14.1" customHeight="1" x14ac:dyDescent="0.2">
      <c r="A105" s="13" t="s">
        <v>126</v>
      </c>
      <c r="B105" s="13"/>
      <c r="C105" s="13"/>
      <c r="D105" s="13"/>
      <c r="E105" s="13"/>
      <c r="F105" s="13"/>
      <c r="G105" s="13"/>
      <c r="H105" s="13"/>
      <c r="I105" s="14" t="s">
        <v>104</v>
      </c>
      <c r="J105" s="14"/>
      <c r="K105" s="14"/>
      <c r="L105" s="14" t="s">
        <v>175</v>
      </c>
      <c r="M105" s="14"/>
      <c r="N105" s="14"/>
      <c r="O105" s="51" t="s">
        <v>128</v>
      </c>
      <c r="P105" s="51"/>
      <c r="Q105" s="16">
        <f>3162700</f>
        <v>3162700</v>
      </c>
      <c r="R105" s="16"/>
      <c r="S105" s="16"/>
      <c r="T105" s="20" t="s">
        <v>39</v>
      </c>
      <c r="U105" s="20"/>
      <c r="V105" s="20"/>
      <c r="W105" s="20"/>
      <c r="X105" s="20"/>
      <c r="Y105" s="49">
        <f>3162700</f>
        <v>3162700</v>
      </c>
      <c r="Z105" s="49"/>
    </row>
    <row r="106" spans="1:26" s="1" customFormat="1" ht="14.1" customHeight="1" x14ac:dyDescent="0.2">
      <c r="A106" s="13" t="s">
        <v>126</v>
      </c>
      <c r="B106" s="13"/>
      <c r="C106" s="13"/>
      <c r="D106" s="13"/>
      <c r="E106" s="13"/>
      <c r="F106" s="13"/>
      <c r="G106" s="13"/>
      <c r="H106" s="13"/>
      <c r="I106" s="14" t="s">
        <v>104</v>
      </c>
      <c r="J106" s="14"/>
      <c r="K106" s="14"/>
      <c r="L106" s="14" t="s">
        <v>176</v>
      </c>
      <c r="M106" s="14"/>
      <c r="N106" s="14"/>
      <c r="O106" s="51" t="s">
        <v>128</v>
      </c>
      <c r="P106" s="51"/>
      <c r="Q106" s="16">
        <f>0</f>
        <v>0</v>
      </c>
      <c r="R106" s="16"/>
      <c r="S106" s="16"/>
      <c r="T106" s="20" t="s">
        <v>39</v>
      </c>
      <c r="U106" s="20"/>
      <c r="V106" s="20"/>
      <c r="W106" s="20"/>
      <c r="X106" s="20"/>
      <c r="Y106" s="52" t="s">
        <v>39</v>
      </c>
      <c r="Z106" s="52"/>
    </row>
    <row r="107" spans="1:26" s="1" customFormat="1" ht="14.1" customHeight="1" x14ac:dyDescent="0.2">
      <c r="A107" s="13" t="s">
        <v>126</v>
      </c>
      <c r="B107" s="13"/>
      <c r="C107" s="13"/>
      <c r="D107" s="13"/>
      <c r="E107" s="13"/>
      <c r="F107" s="13"/>
      <c r="G107" s="13"/>
      <c r="H107" s="13"/>
      <c r="I107" s="14" t="s">
        <v>104</v>
      </c>
      <c r="J107" s="14"/>
      <c r="K107" s="14"/>
      <c r="L107" s="14" t="s">
        <v>177</v>
      </c>
      <c r="M107" s="14"/>
      <c r="N107" s="14"/>
      <c r="O107" s="51" t="s">
        <v>128</v>
      </c>
      <c r="P107" s="51"/>
      <c r="Q107" s="16">
        <f>0</f>
        <v>0</v>
      </c>
      <c r="R107" s="16"/>
      <c r="S107" s="16"/>
      <c r="T107" s="20" t="s">
        <v>39</v>
      </c>
      <c r="U107" s="20"/>
      <c r="V107" s="20"/>
      <c r="W107" s="20"/>
      <c r="X107" s="20"/>
      <c r="Y107" s="52" t="s">
        <v>39</v>
      </c>
      <c r="Z107" s="52"/>
    </row>
    <row r="108" spans="1:26" s="1" customFormat="1" ht="24" customHeight="1" x14ac:dyDescent="0.2">
      <c r="A108" s="13" t="s">
        <v>178</v>
      </c>
      <c r="B108" s="13"/>
      <c r="C108" s="13"/>
      <c r="D108" s="13"/>
      <c r="E108" s="13"/>
      <c r="F108" s="13"/>
      <c r="G108" s="13"/>
      <c r="H108" s="13"/>
      <c r="I108" s="14" t="s">
        <v>104</v>
      </c>
      <c r="J108" s="14"/>
      <c r="K108" s="14"/>
      <c r="L108" s="14" t="s">
        <v>177</v>
      </c>
      <c r="M108" s="14"/>
      <c r="N108" s="14"/>
      <c r="O108" s="51" t="s">
        <v>179</v>
      </c>
      <c r="P108" s="51"/>
      <c r="Q108" s="16">
        <f>600000</f>
        <v>600000</v>
      </c>
      <c r="R108" s="16"/>
      <c r="S108" s="16"/>
      <c r="T108" s="16">
        <f>600000</f>
        <v>600000</v>
      </c>
      <c r="U108" s="16"/>
      <c r="V108" s="16"/>
      <c r="W108" s="16"/>
      <c r="X108" s="16"/>
      <c r="Y108" s="49">
        <f>0</f>
        <v>0</v>
      </c>
      <c r="Z108" s="49"/>
    </row>
    <row r="109" spans="1:26" s="1" customFormat="1" ht="24" customHeight="1" x14ac:dyDescent="0.2">
      <c r="A109" s="13" t="s">
        <v>180</v>
      </c>
      <c r="B109" s="13"/>
      <c r="C109" s="13"/>
      <c r="D109" s="13"/>
      <c r="E109" s="13"/>
      <c r="F109" s="13"/>
      <c r="G109" s="13"/>
      <c r="H109" s="13"/>
      <c r="I109" s="14" t="s">
        <v>104</v>
      </c>
      <c r="J109" s="14"/>
      <c r="K109" s="14"/>
      <c r="L109" s="14" t="s">
        <v>181</v>
      </c>
      <c r="M109" s="14"/>
      <c r="N109" s="14"/>
      <c r="O109" s="51" t="s">
        <v>10</v>
      </c>
      <c r="P109" s="51"/>
      <c r="Q109" s="20" t="s">
        <v>39</v>
      </c>
      <c r="R109" s="20"/>
      <c r="S109" s="20"/>
      <c r="T109" s="16">
        <f>0</f>
        <v>0</v>
      </c>
      <c r="U109" s="16"/>
      <c r="V109" s="16"/>
      <c r="W109" s="16"/>
      <c r="X109" s="16"/>
      <c r="Y109" s="52" t="s">
        <v>39</v>
      </c>
      <c r="Z109" s="52"/>
    </row>
    <row r="110" spans="1:26" s="1" customFormat="1" ht="14.1" customHeight="1" x14ac:dyDescent="0.2">
      <c r="A110" s="13" t="s">
        <v>126</v>
      </c>
      <c r="B110" s="13"/>
      <c r="C110" s="13"/>
      <c r="D110" s="13"/>
      <c r="E110" s="13"/>
      <c r="F110" s="13"/>
      <c r="G110" s="13"/>
      <c r="H110" s="13"/>
      <c r="I110" s="14" t="s">
        <v>104</v>
      </c>
      <c r="J110" s="14"/>
      <c r="K110" s="14"/>
      <c r="L110" s="14" t="s">
        <v>181</v>
      </c>
      <c r="M110" s="14"/>
      <c r="N110" s="14"/>
      <c r="O110" s="51" t="s">
        <v>128</v>
      </c>
      <c r="P110" s="51"/>
      <c r="Q110" s="16">
        <f>0</f>
        <v>0</v>
      </c>
      <c r="R110" s="16"/>
      <c r="S110" s="16"/>
      <c r="T110" s="20" t="s">
        <v>39</v>
      </c>
      <c r="U110" s="20"/>
      <c r="V110" s="20"/>
      <c r="W110" s="20"/>
      <c r="X110" s="20"/>
      <c r="Y110" s="52" t="s">
        <v>39</v>
      </c>
      <c r="Z110" s="52"/>
    </row>
    <row r="111" spans="1:26" s="1" customFormat="1" ht="14.1" customHeight="1" x14ac:dyDescent="0.2">
      <c r="A111" s="13" t="s">
        <v>126</v>
      </c>
      <c r="B111" s="13"/>
      <c r="C111" s="13"/>
      <c r="D111" s="13"/>
      <c r="E111" s="13"/>
      <c r="F111" s="13"/>
      <c r="G111" s="13"/>
      <c r="H111" s="13"/>
      <c r="I111" s="14" t="s">
        <v>104</v>
      </c>
      <c r="J111" s="14"/>
      <c r="K111" s="14"/>
      <c r="L111" s="14" t="s">
        <v>182</v>
      </c>
      <c r="M111" s="14"/>
      <c r="N111" s="14"/>
      <c r="O111" s="51" t="s">
        <v>128</v>
      </c>
      <c r="P111" s="51"/>
      <c r="Q111" s="16">
        <f>0</f>
        <v>0</v>
      </c>
      <c r="R111" s="16"/>
      <c r="S111" s="16"/>
      <c r="T111" s="20" t="s">
        <v>39</v>
      </c>
      <c r="U111" s="20"/>
      <c r="V111" s="20"/>
      <c r="W111" s="20"/>
      <c r="X111" s="20"/>
      <c r="Y111" s="52" t="s">
        <v>39</v>
      </c>
      <c r="Z111" s="52"/>
    </row>
    <row r="112" spans="1:26" s="1" customFormat="1" ht="14.1" customHeight="1" x14ac:dyDescent="0.2">
      <c r="A112" s="13" t="s">
        <v>126</v>
      </c>
      <c r="B112" s="13"/>
      <c r="C112" s="13"/>
      <c r="D112" s="13"/>
      <c r="E112" s="13"/>
      <c r="F112" s="13"/>
      <c r="G112" s="13"/>
      <c r="H112" s="13"/>
      <c r="I112" s="14" t="s">
        <v>104</v>
      </c>
      <c r="J112" s="14"/>
      <c r="K112" s="14"/>
      <c r="L112" s="14" t="s">
        <v>183</v>
      </c>
      <c r="M112" s="14"/>
      <c r="N112" s="14"/>
      <c r="O112" s="51" t="s">
        <v>128</v>
      </c>
      <c r="P112" s="51"/>
      <c r="Q112" s="16">
        <f>86593246.27</f>
        <v>86593246.269999996</v>
      </c>
      <c r="R112" s="16"/>
      <c r="S112" s="16"/>
      <c r="T112" s="16">
        <f>11577098.68</f>
        <v>11577098.68</v>
      </c>
      <c r="U112" s="16"/>
      <c r="V112" s="16"/>
      <c r="W112" s="16"/>
      <c r="X112" s="16"/>
      <c r="Y112" s="49">
        <f>75016147.59</f>
        <v>75016147.590000004</v>
      </c>
      <c r="Z112" s="49"/>
    </row>
    <row r="113" spans="1:26" s="1" customFormat="1" ht="14.1" customHeight="1" x14ac:dyDescent="0.2">
      <c r="A113" s="13" t="s">
        <v>132</v>
      </c>
      <c r="B113" s="13"/>
      <c r="C113" s="13"/>
      <c r="D113" s="13"/>
      <c r="E113" s="13"/>
      <c r="F113" s="13"/>
      <c r="G113" s="13"/>
      <c r="H113" s="13"/>
      <c r="I113" s="14" t="s">
        <v>104</v>
      </c>
      <c r="J113" s="14"/>
      <c r="K113" s="14"/>
      <c r="L113" s="14" t="s">
        <v>184</v>
      </c>
      <c r="M113" s="14"/>
      <c r="N113" s="14"/>
      <c r="O113" s="51" t="s">
        <v>133</v>
      </c>
      <c r="P113" s="51"/>
      <c r="Q113" s="16">
        <f>1800000</f>
        <v>1800000</v>
      </c>
      <c r="R113" s="16"/>
      <c r="S113" s="16"/>
      <c r="T113" s="16">
        <f>1618771.95</f>
        <v>1618771.95</v>
      </c>
      <c r="U113" s="16"/>
      <c r="V113" s="16"/>
      <c r="W113" s="16"/>
      <c r="X113" s="16"/>
      <c r="Y113" s="49">
        <f>181228.05</f>
        <v>181228.05</v>
      </c>
      <c r="Z113" s="49"/>
    </row>
    <row r="114" spans="1:26" s="1" customFormat="1" ht="14.1" customHeight="1" x14ac:dyDescent="0.2">
      <c r="A114" s="13" t="s">
        <v>140</v>
      </c>
      <c r="B114" s="13"/>
      <c r="C114" s="13"/>
      <c r="D114" s="13"/>
      <c r="E114" s="13"/>
      <c r="F114" s="13"/>
      <c r="G114" s="13"/>
      <c r="H114" s="13"/>
      <c r="I114" s="14" t="s">
        <v>104</v>
      </c>
      <c r="J114" s="14"/>
      <c r="K114" s="14"/>
      <c r="L114" s="14" t="s">
        <v>185</v>
      </c>
      <c r="M114" s="14"/>
      <c r="N114" s="14"/>
      <c r="O114" s="51" t="s">
        <v>141</v>
      </c>
      <c r="P114" s="51"/>
      <c r="Q114" s="16">
        <f>2300000</f>
        <v>2300000</v>
      </c>
      <c r="R114" s="16"/>
      <c r="S114" s="16"/>
      <c r="T114" s="16">
        <f>1493497.52</f>
        <v>1493497.52</v>
      </c>
      <c r="U114" s="16"/>
      <c r="V114" s="16"/>
      <c r="W114" s="16"/>
      <c r="X114" s="16"/>
      <c r="Y114" s="49">
        <f>806502.48</f>
        <v>806502.48</v>
      </c>
      <c r="Z114" s="49"/>
    </row>
    <row r="115" spans="1:26" s="1" customFormat="1" ht="14.1" customHeight="1" x14ac:dyDescent="0.2">
      <c r="A115" s="13" t="s">
        <v>126</v>
      </c>
      <c r="B115" s="13"/>
      <c r="C115" s="13"/>
      <c r="D115" s="13"/>
      <c r="E115" s="13"/>
      <c r="F115" s="13"/>
      <c r="G115" s="13"/>
      <c r="H115" s="13"/>
      <c r="I115" s="14" t="s">
        <v>104</v>
      </c>
      <c r="J115" s="14"/>
      <c r="K115" s="14"/>
      <c r="L115" s="14" t="s">
        <v>186</v>
      </c>
      <c r="M115" s="14"/>
      <c r="N115" s="14"/>
      <c r="O115" s="51" t="s">
        <v>128</v>
      </c>
      <c r="P115" s="51"/>
      <c r="Q115" s="16">
        <f>700000</f>
        <v>700000</v>
      </c>
      <c r="R115" s="16"/>
      <c r="S115" s="16"/>
      <c r="T115" s="16">
        <f>448100</f>
        <v>448100</v>
      </c>
      <c r="U115" s="16"/>
      <c r="V115" s="16"/>
      <c r="W115" s="16"/>
      <c r="X115" s="16"/>
      <c r="Y115" s="49">
        <f>251900</f>
        <v>251900</v>
      </c>
      <c r="Z115" s="49"/>
    </row>
    <row r="116" spans="1:26" s="1" customFormat="1" ht="14.1" customHeight="1" x14ac:dyDescent="0.2">
      <c r="A116" s="13" t="s">
        <v>137</v>
      </c>
      <c r="B116" s="13"/>
      <c r="C116" s="13"/>
      <c r="D116" s="13"/>
      <c r="E116" s="13"/>
      <c r="F116" s="13"/>
      <c r="G116" s="13"/>
      <c r="H116" s="13"/>
      <c r="I116" s="14" t="s">
        <v>104</v>
      </c>
      <c r="J116" s="14"/>
      <c r="K116" s="14"/>
      <c r="L116" s="14" t="s">
        <v>187</v>
      </c>
      <c r="M116" s="14"/>
      <c r="N116" s="14"/>
      <c r="O116" s="51" t="s">
        <v>139</v>
      </c>
      <c r="P116" s="51"/>
      <c r="Q116" s="16">
        <f>600000</f>
        <v>600000</v>
      </c>
      <c r="R116" s="16"/>
      <c r="S116" s="16"/>
      <c r="T116" s="16">
        <f>83520</f>
        <v>83520</v>
      </c>
      <c r="U116" s="16"/>
      <c r="V116" s="16"/>
      <c r="W116" s="16"/>
      <c r="X116" s="16"/>
      <c r="Y116" s="49">
        <f>516480</f>
        <v>516480</v>
      </c>
      <c r="Z116" s="49"/>
    </row>
    <row r="117" spans="1:26" s="1" customFormat="1" ht="14.1" customHeight="1" x14ac:dyDescent="0.2">
      <c r="A117" s="13" t="s">
        <v>126</v>
      </c>
      <c r="B117" s="13"/>
      <c r="C117" s="13"/>
      <c r="D117" s="13"/>
      <c r="E117" s="13"/>
      <c r="F117" s="13"/>
      <c r="G117" s="13"/>
      <c r="H117" s="13"/>
      <c r="I117" s="14" t="s">
        <v>104</v>
      </c>
      <c r="J117" s="14"/>
      <c r="K117" s="14"/>
      <c r="L117" s="14" t="s">
        <v>187</v>
      </c>
      <c r="M117" s="14"/>
      <c r="N117" s="14"/>
      <c r="O117" s="51" t="s">
        <v>128</v>
      </c>
      <c r="P117" s="51"/>
      <c r="Q117" s="16">
        <f>900000</f>
        <v>900000</v>
      </c>
      <c r="R117" s="16"/>
      <c r="S117" s="16"/>
      <c r="T117" s="16">
        <f>156000</f>
        <v>156000</v>
      </c>
      <c r="U117" s="16"/>
      <c r="V117" s="16"/>
      <c r="W117" s="16"/>
      <c r="X117" s="16"/>
      <c r="Y117" s="49">
        <f>744000</f>
        <v>744000</v>
      </c>
      <c r="Z117" s="49"/>
    </row>
    <row r="118" spans="1:26" s="1" customFormat="1" ht="14.1" customHeight="1" x14ac:dyDescent="0.2">
      <c r="A118" s="13" t="s">
        <v>137</v>
      </c>
      <c r="B118" s="13"/>
      <c r="C118" s="13"/>
      <c r="D118" s="13"/>
      <c r="E118" s="13"/>
      <c r="F118" s="13"/>
      <c r="G118" s="13"/>
      <c r="H118" s="13"/>
      <c r="I118" s="14" t="s">
        <v>104</v>
      </c>
      <c r="J118" s="14"/>
      <c r="K118" s="14"/>
      <c r="L118" s="14" t="s">
        <v>188</v>
      </c>
      <c r="M118" s="14"/>
      <c r="N118" s="14"/>
      <c r="O118" s="51" t="s">
        <v>139</v>
      </c>
      <c r="P118" s="51"/>
      <c r="Q118" s="16">
        <f>6988000</f>
        <v>6988000</v>
      </c>
      <c r="R118" s="16"/>
      <c r="S118" s="16"/>
      <c r="T118" s="16">
        <f>6877899.06</f>
        <v>6877899.0599999996</v>
      </c>
      <c r="U118" s="16"/>
      <c r="V118" s="16"/>
      <c r="W118" s="16"/>
      <c r="X118" s="16"/>
      <c r="Y118" s="49">
        <f>110100.94</f>
        <v>110100.94</v>
      </c>
      <c r="Z118" s="49"/>
    </row>
    <row r="119" spans="1:26" s="1" customFormat="1" ht="14.1" customHeight="1" x14ac:dyDescent="0.2">
      <c r="A119" s="13" t="s">
        <v>132</v>
      </c>
      <c r="B119" s="13"/>
      <c r="C119" s="13"/>
      <c r="D119" s="13"/>
      <c r="E119" s="13"/>
      <c r="F119" s="13"/>
      <c r="G119" s="13"/>
      <c r="H119" s="13"/>
      <c r="I119" s="14" t="s">
        <v>104</v>
      </c>
      <c r="J119" s="14"/>
      <c r="K119" s="14"/>
      <c r="L119" s="14" t="s">
        <v>188</v>
      </c>
      <c r="M119" s="14"/>
      <c r="N119" s="14"/>
      <c r="O119" s="51" t="s">
        <v>133</v>
      </c>
      <c r="P119" s="51"/>
      <c r="Q119" s="16">
        <f>500000</f>
        <v>500000</v>
      </c>
      <c r="R119" s="16"/>
      <c r="S119" s="16"/>
      <c r="T119" s="16">
        <f>164505.4</f>
        <v>164505.4</v>
      </c>
      <c r="U119" s="16"/>
      <c r="V119" s="16"/>
      <c r="W119" s="16"/>
      <c r="X119" s="16"/>
      <c r="Y119" s="49">
        <f>335494.6</f>
        <v>335494.59999999998</v>
      </c>
      <c r="Z119" s="49"/>
    </row>
    <row r="120" spans="1:26" s="1" customFormat="1" ht="14.1" customHeight="1" x14ac:dyDescent="0.2">
      <c r="A120" s="13" t="s">
        <v>126</v>
      </c>
      <c r="B120" s="13"/>
      <c r="C120" s="13"/>
      <c r="D120" s="13"/>
      <c r="E120" s="13"/>
      <c r="F120" s="13"/>
      <c r="G120" s="13"/>
      <c r="H120" s="13"/>
      <c r="I120" s="14" t="s">
        <v>104</v>
      </c>
      <c r="J120" s="14"/>
      <c r="K120" s="14"/>
      <c r="L120" s="14" t="s">
        <v>188</v>
      </c>
      <c r="M120" s="14"/>
      <c r="N120" s="14"/>
      <c r="O120" s="51" t="s">
        <v>128</v>
      </c>
      <c r="P120" s="51"/>
      <c r="Q120" s="16">
        <f>12319752.84</f>
        <v>12319752.84</v>
      </c>
      <c r="R120" s="16"/>
      <c r="S120" s="16"/>
      <c r="T120" s="16">
        <f>3818926.08</f>
        <v>3818926.0800000001</v>
      </c>
      <c r="U120" s="16"/>
      <c r="V120" s="16"/>
      <c r="W120" s="16"/>
      <c r="X120" s="16"/>
      <c r="Y120" s="49">
        <f>8500826.76</f>
        <v>8500826.7599999998</v>
      </c>
      <c r="Z120" s="49"/>
    </row>
    <row r="121" spans="1:26" s="1" customFormat="1" ht="14.1" customHeight="1" x14ac:dyDescent="0.2">
      <c r="A121" s="13" t="s">
        <v>134</v>
      </c>
      <c r="B121" s="13"/>
      <c r="C121" s="13"/>
      <c r="D121" s="13"/>
      <c r="E121" s="13"/>
      <c r="F121" s="13"/>
      <c r="G121" s="13"/>
      <c r="H121" s="13"/>
      <c r="I121" s="14" t="s">
        <v>104</v>
      </c>
      <c r="J121" s="14"/>
      <c r="K121" s="14"/>
      <c r="L121" s="14" t="s">
        <v>188</v>
      </c>
      <c r="M121" s="14"/>
      <c r="N121" s="14"/>
      <c r="O121" s="51" t="s">
        <v>135</v>
      </c>
      <c r="P121" s="51"/>
      <c r="Q121" s="16">
        <f>4030000</f>
        <v>4030000</v>
      </c>
      <c r="R121" s="16"/>
      <c r="S121" s="16"/>
      <c r="T121" s="16">
        <f>4029120.18</f>
        <v>4029120.18</v>
      </c>
      <c r="U121" s="16"/>
      <c r="V121" s="16"/>
      <c r="W121" s="16"/>
      <c r="X121" s="16"/>
      <c r="Y121" s="49">
        <f>879.82</f>
        <v>879.82</v>
      </c>
      <c r="Z121" s="49"/>
    </row>
    <row r="122" spans="1:26" s="1" customFormat="1" ht="14.1" customHeight="1" x14ac:dyDescent="0.2">
      <c r="A122" s="13" t="s">
        <v>142</v>
      </c>
      <c r="B122" s="13"/>
      <c r="C122" s="13"/>
      <c r="D122" s="13"/>
      <c r="E122" s="13"/>
      <c r="F122" s="13"/>
      <c r="G122" s="13"/>
      <c r="H122" s="13"/>
      <c r="I122" s="14" t="s">
        <v>104</v>
      </c>
      <c r="J122" s="14"/>
      <c r="K122" s="14"/>
      <c r="L122" s="14" t="s">
        <v>188</v>
      </c>
      <c r="M122" s="14"/>
      <c r="N122" s="14"/>
      <c r="O122" s="51" t="s">
        <v>143</v>
      </c>
      <c r="P122" s="51"/>
      <c r="Q122" s="16">
        <f>0</f>
        <v>0</v>
      </c>
      <c r="R122" s="16"/>
      <c r="S122" s="16"/>
      <c r="T122" s="20" t="s">
        <v>39</v>
      </c>
      <c r="U122" s="20"/>
      <c r="V122" s="20"/>
      <c r="W122" s="20"/>
      <c r="X122" s="20"/>
      <c r="Y122" s="52" t="s">
        <v>39</v>
      </c>
      <c r="Z122" s="52"/>
    </row>
    <row r="123" spans="1:26" s="1" customFormat="1" ht="14.1" customHeight="1" x14ac:dyDescent="0.2">
      <c r="A123" s="13" t="s">
        <v>115</v>
      </c>
      <c r="B123" s="13"/>
      <c r="C123" s="13"/>
      <c r="D123" s="13"/>
      <c r="E123" s="13"/>
      <c r="F123" s="13"/>
      <c r="G123" s="13"/>
      <c r="H123" s="13"/>
      <c r="I123" s="14" t="s">
        <v>104</v>
      </c>
      <c r="J123" s="14"/>
      <c r="K123" s="14"/>
      <c r="L123" s="14" t="s">
        <v>188</v>
      </c>
      <c r="M123" s="14"/>
      <c r="N123" s="14"/>
      <c r="O123" s="51" t="s">
        <v>117</v>
      </c>
      <c r="P123" s="51"/>
      <c r="Q123" s="16">
        <f>1216700</f>
        <v>1216700</v>
      </c>
      <c r="R123" s="16"/>
      <c r="S123" s="16"/>
      <c r="T123" s="16">
        <f>483650</f>
        <v>483650</v>
      </c>
      <c r="U123" s="16"/>
      <c r="V123" s="16"/>
      <c r="W123" s="16"/>
      <c r="X123" s="16"/>
      <c r="Y123" s="49">
        <f>733050</f>
        <v>733050</v>
      </c>
      <c r="Z123" s="49"/>
    </row>
    <row r="124" spans="1:26" s="1" customFormat="1" ht="14.1" customHeight="1" x14ac:dyDescent="0.2">
      <c r="A124" s="13" t="s">
        <v>132</v>
      </c>
      <c r="B124" s="13"/>
      <c r="C124" s="13"/>
      <c r="D124" s="13"/>
      <c r="E124" s="13"/>
      <c r="F124" s="13"/>
      <c r="G124" s="13"/>
      <c r="H124" s="13"/>
      <c r="I124" s="14" t="s">
        <v>104</v>
      </c>
      <c r="J124" s="14"/>
      <c r="K124" s="14"/>
      <c r="L124" s="14" t="s">
        <v>189</v>
      </c>
      <c r="M124" s="14"/>
      <c r="N124" s="14"/>
      <c r="O124" s="51" t="s">
        <v>133</v>
      </c>
      <c r="P124" s="51"/>
      <c r="Q124" s="16">
        <f>169856.08</f>
        <v>169856.08</v>
      </c>
      <c r="R124" s="16"/>
      <c r="S124" s="16"/>
      <c r="T124" s="16">
        <f>169856.08</f>
        <v>169856.08</v>
      </c>
      <c r="U124" s="16"/>
      <c r="V124" s="16"/>
      <c r="W124" s="16"/>
      <c r="X124" s="16"/>
      <c r="Y124" s="49">
        <f>0</f>
        <v>0</v>
      </c>
      <c r="Z124" s="49"/>
    </row>
    <row r="125" spans="1:26" s="1" customFormat="1" ht="14.1" customHeight="1" x14ac:dyDescent="0.2">
      <c r="A125" s="13" t="s">
        <v>126</v>
      </c>
      <c r="B125" s="13"/>
      <c r="C125" s="13"/>
      <c r="D125" s="13"/>
      <c r="E125" s="13"/>
      <c r="F125" s="13"/>
      <c r="G125" s="13"/>
      <c r="H125" s="13"/>
      <c r="I125" s="14" t="s">
        <v>104</v>
      </c>
      <c r="J125" s="14"/>
      <c r="K125" s="14"/>
      <c r="L125" s="14" t="s">
        <v>189</v>
      </c>
      <c r="M125" s="14"/>
      <c r="N125" s="14"/>
      <c r="O125" s="51" t="s">
        <v>128</v>
      </c>
      <c r="P125" s="51"/>
      <c r="Q125" s="16">
        <f>0</f>
        <v>0</v>
      </c>
      <c r="R125" s="16"/>
      <c r="S125" s="16"/>
      <c r="T125" s="20" t="s">
        <v>39</v>
      </c>
      <c r="U125" s="20"/>
      <c r="V125" s="20"/>
      <c r="W125" s="20"/>
      <c r="X125" s="20"/>
      <c r="Y125" s="52" t="s">
        <v>39</v>
      </c>
      <c r="Z125" s="52"/>
    </row>
    <row r="126" spans="1:26" s="1" customFormat="1" ht="14.1" customHeight="1" x14ac:dyDescent="0.2">
      <c r="A126" s="13" t="s">
        <v>134</v>
      </c>
      <c r="B126" s="13"/>
      <c r="C126" s="13"/>
      <c r="D126" s="13"/>
      <c r="E126" s="13"/>
      <c r="F126" s="13"/>
      <c r="G126" s="13"/>
      <c r="H126" s="13"/>
      <c r="I126" s="14" t="s">
        <v>104</v>
      </c>
      <c r="J126" s="14"/>
      <c r="K126" s="14"/>
      <c r="L126" s="14" t="s">
        <v>189</v>
      </c>
      <c r="M126" s="14"/>
      <c r="N126" s="14"/>
      <c r="O126" s="51" t="s">
        <v>135</v>
      </c>
      <c r="P126" s="51"/>
      <c r="Q126" s="16">
        <f>425236</f>
        <v>425236</v>
      </c>
      <c r="R126" s="16"/>
      <c r="S126" s="16"/>
      <c r="T126" s="16">
        <f>425236</f>
        <v>425236</v>
      </c>
      <c r="U126" s="16"/>
      <c r="V126" s="16"/>
      <c r="W126" s="16"/>
      <c r="X126" s="16"/>
      <c r="Y126" s="49">
        <f>0</f>
        <v>0</v>
      </c>
      <c r="Z126" s="49"/>
    </row>
    <row r="127" spans="1:26" s="1" customFormat="1" ht="14.1" customHeight="1" x14ac:dyDescent="0.2">
      <c r="A127" s="13" t="s">
        <v>126</v>
      </c>
      <c r="B127" s="13"/>
      <c r="C127" s="13"/>
      <c r="D127" s="13"/>
      <c r="E127" s="13"/>
      <c r="F127" s="13"/>
      <c r="G127" s="13"/>
      <c r="H127" s="13"/>
      <c r="I127" s="14" t="s">
        <v>104</v>
      </c>
      <c r="J127" s="14"/>
      <c r="K127" s="14"/>
      <c r="L127" s="14" t="s">
        <v>190</v>
      </c>
      <c r="M127" s="14"/>
      <c r="N127" s="14"/>
      <c r="O127" s="51" t="s">
        <v>128</v>
      </c>
      <c r="P127" s="51"/>
      <c r="Q127" s="16">
        <f>715996</f>
        <v>715996</v>
      </c>
      <c r="R127" s="16"/>
      <c r="S127" s="16"/>
      <c r="T127" s="16">
        <f>715996</f>
        <v>715996</v>
      </c>
      <c r="U127" s="16"/>
      <c r="V127" s="16"/>
      <c r="W127" s="16"/>
      <c r="X127" s="16"/>
      <c r="Y127" s="49">
        <f>0</f>
        <v>0</v>
      </c>
      <c r="Z127" s="49"/>
    </row>
    <row r="128" spans="1:26" s="1" customFormat="1" ht="14.1" customHeight="1" x14ac:dyDescent="0.2">
      <c r="A128" s="13" t="s">
        <v>134</v>
      </c>
      <c r="B128" s="13"/>
      <c r="C128" s="13"/>
      <c r="D128" s="13"/>
      <c r="E128" s="13"/>
      <c r="F128" s="13"/>
      <c r="G128" s="13"/>
      <c r="H128" s="13"/>
      <c r="I128" s="14" t="s">
        <v>104</v>
      </c>
      <c r="J128" s="14"/>
      <c r="K128" s="14"/>
      <c r="L128" s="14" t="s">
        <v>190</v>
      </c>
      <c r="M128" s="14"/>
      <c r="N128" s="14"/>
      <c r="O128" s="51" t="s">
        <v>135</v>
      </c>
      <c r="P128" s="51"/>
      <c r="Q128" s="16">
        <f>427500</f>
        <v>427500</v>
      </c>
      <c r="R128" s="16"/>
      <c r="S128" s="16"/>
      <c r="T128" s="16">
        <f>427500</f>
        <v>427500</v>
      </c>
      <c r="U128" s="16"/>
      <c r="V128" s="16"/>
      <c r="W128" s="16"/>
      <c r="X128" s="16"/>
      <c r="Y128" s="49">
        <f>0</f>
        <v>0</v>
      </c>
      <c r="Z128" s="49"/>
    </row>
    <row r="129" spans="1:26" s="1" customFormat="1" ht="14.1" customHeight="1" x14ac:dyDescent="0.2">
      <c r="A129" s="13" t="s">
        <v>126</v>
      </c>
      <c r="B129" s="13"/>
      <c r="C129" s="13"/>
      <c r="D129" s="13"/>
      <c r="E129" s="13"/>
      <c r="F129" s="13"/>
      <c r="G129" s="13"/>
      <c r="H129" s="13"/>
      <c r="I129" s="14" t="s">
        <v>104</v>
      </c>
      <c r="J129" s="14"/>
      <c r="K129" s="14"/>
      <c r="L129" s="14" t="s">
        <v>191</v>
      </c>
      <c r="M129" s="14"/>
      <c r="N129" s="14"/>
      <c r="O129" s="51" t="s">
        <v>128</v>
      </c>
      <c r="P129" s="51"/>
      <c r="Q129" s="16">
        <f>400000</f>
        <v>400000</v>
      </c>
      <c r="R129" s="16"/>
      <c r="S129" s="16"/>
      <c r="T129" s="16">
        <f>237000</f>
        <v>237000</v>
      </c>
      <c r="U129" s="16"/>
      <c r="V129" s="16"/>
      <c r="W129" s="16"/>
      <c r="X129" s="16"/>
      <c r="Y129" s="49">
        <f>163000</f>
        <v>163000</v>
      </c>
      <c r="Z129" s="49"/>
    </row>
    <row r="130" spans="1:26" s="1" customFormat="1" ht="14.1" customHeight="1" x14ac:dyDescent="0.2">
      <c r="A130" s="13" t="s">
        <v>137</v>
      </c>
      <c r="B130" s="13"/>
      <c r="C130" s="13"/>
      <c r="D130" s="13"/>
      <c r="E130" s="13"/>
      <c r="F130" s="13"/>
      <c r="G130" s="13"/>
      <c r="H130" s="13"/>
      <c r="I130" s="14" t="s">
        <v>104</v>
      </c>
      <c r="J130" s="14"/>
      <c r="K130" s="14"/>
      <c r="L130" s="14" t="s">
        <v>192</v>
      </c>
      <c r="M130" s="14"/>
      <c r="N130" s="14"/>
      <c r="O130" s="51" t="s">
        <v>139</v>
      </c>
      <c r="P130" s="51"/>
      <c r="Q130" s="16">
        <f>11000</f>
        <v>11000</v>
      </c>
      <c r="R130" s="16"/>
      <c r="S130" s="16"/>
      <c r="T130" s="16">
        <f>7300</f>
        <v>7300</v>
      </c>
      <c r="U130" s="16"/>
      <c r="V130" s="16"/>
      <c r="W130" s="16"/>
      <c r="X130" s="16"/>
      <c r="Y130" s="49">
        <f>3700</f>
        <v>3700</v>
      </c>
      <c r="Z130" s="49"/>
    </row>
    <row r="131" spans="1:26" s="1" customFormat="1" ht="14.1" customHeight="1" x14ac:dyDescent="0.2">
      <c r="A131" s="13" t="s">
        <v>126</v>
      </c>
      <c r="B131" s="13"/>
      <c r="C131" s="13"/>
      <c r="D131" s="13"/>
      <c r="E131" s="13"/>
      <c r="F131" s="13"/>
      <c r="G131" s="13"/>
      <c r="H131" s="13"/>
      <c r="I131" s="14" t="s">
        <v>104</v>
      </c>
      <c r="J131" s="14"/>
      <c r="K131" s="14"/>
      <c r="L131" s="14" t="s">
        <v>192</v>
      </c>
      <c r="M131" s="14"/>
      <c r="N131" s="14"/>
      <c r="O131" s="51" t="s">
        <v>128</v>
      </c>
      <c r="P131" s="51"/>
      <c r="Q131" s="16">
        <f>32850</f>
        <v>32850</v>
      </c>
      <c r="R131" s="16"/>
      <c r="S131" s="16"/>
      <c r="T131" s="20" t="s">
        <v>39</v>
      </c>
      <c r="U131" s="20"/>
      <c r="V131" s="20"/>
      <c r="W131" s="20"/>
      <c r="X131" s="20"/>
      <c r="Y131" s="49">
        <f>32850</f>
        <v>32850</v>
      </c>
      <c r="Z131" s="49"/>
    </row>
    <row r="132" spans="1:26" s="1" customFormat="1" ht="14.1" customHeight="1" x14ac:dyDescent="0.2">
      <c r="A132" s="13" t="s">
        <v>115</v>
      </c>
      <c r="B132" s="13"/>
      <c r="C132" s="13"/>
      <c r="D132" s="13"/>
      <c r="E132" s="13"/>
      <c r="F132" s="13"/>
      <c r="G132" s="13"/>
      <c r="H132" s="13"/>
      <c r="I132" s="14" t="s">
        <v>104</v>
      </c>
      <c r="J132" s="14"/>
      <c r="K132" s="14"/>
      <c r="L132" s="14" t="s">
        <v>192</v>
      </c>
      <c r="M132" s="14"/>
      <c r="N132" s="14"/>
      <c r="O132" s="51" t="s">
        <v>117</v>
      </c>
      <c r="P132" s="51"/>
      <c r="Q132" s="16">
        <f>17150</f>
        <v>17150</v>
      </c>
      <c r="R132" s="16"/>
      <c r="S132" s="16"/>
      <c r="T132" s="16">
        <f>17150</f>
        <v>17150</v>
      </c>
      <c r="U132" s="16"/>
      <c r="V132" s="16"/>
      <c r="W132" s="16"/>
      <c r="X132" s="16"/>
      <c r="Y132" s="49">
        <f>0</f>
        <v>0</v>
      </c>
      <c r="Z132" s="49"/>
    </row>
    <row r="133" spans="1:26" s="1" customFormat="1" ht="24" customHeight="1" x14ac:dyDescent="0.2">
      <c r="A133" s="13" t="s">
        <v>155</v>
      </c>
      <c r="B133" s="13"/>
      <c r="C133" s="13"/>
      <c r="D133" s="13"/>
      <c r="E133" s="13"/>
      <c r="F133" s="13"/>
      <c r="G133" s="13"/>
      <c r="H133" s="13"/>
      <c r="I133" s="14" t="s">
        <v>104</v>
      </c>
      <c r="J133" s="14"/>
      <c r="K133" s="14"/>
      <c r="L133" s="14" t="s">
        <v>192</v>
      </c>
      <c r="M133" s="14"/>
      <c r="N133" s="14"/>
      <c r="O133" s="51" t="s">
        <v>157</v>
      </c>
      <c r="P133" s="51"/>
      <c r="Q133" s="16">
        <f>89000</f>
        <v>89000</v>
      </c>
      <c r="R133" s="16"/>
      <c r="S133" s="16"/>
      <c r="T133" s="16">
        <f>64920</f>
        <v>64920</v>
      </c>
      <c r="U133" s="16"/>
      <c r="V133" s="16"/>
      <c r="W133" s="16"/>
      <c r="X133" s="16"/>
      <c r="Y133" s="49">
        <f>24080</f>
        <v>24080</v>
      </c>
      <c r="Z133" s="49"/>
    </row>
    <row r="134" spans="1:26" s="1" customFormat="1" ht="14.1" customHeight="1" x14ac:dyDescent="0.2">
      <c r="A134" s="13" t="s">
        <v>105</v>
      </c>
      <c r="B134" s="13"/>
      <c r="C134" s="13"/>
      <c r="D134" s="13"/>
      <c r="E134" s="13"/>
      <c r="F134" s="13"/>
      <c r="G134" s="13"/>
      <c r="H134" s="13"/>
      <c r="I134" s="14" t="s">
        <v>104</v>
      </c>
      <c r="J134" s="14"/>
      <c r="K134" s="14"/>
      <c r="L134" s="14" t="s">
        <v>193</v>
      </c>
      <c r="M134" s="14"/>
      <c r="N134" s="14"/>
      <c r="O134" s="51" t="s">
        <v>107</v>
      </c>
      <c r="P134" s="51"/>
      <c r="Q134" s="16">
        <f>7050000</f>
        <v>7050000</v>
      </c>
      <c r="R134" s="16"/>
      <c r="S134" s="16"/>
      <c r="T134" s="16">
        <f>6787978.11</f>
        <v>6787978.1100000003</v>
      </c>
      <c r="U134" s="16"/>
      <c r="V134" s="16"/>
      <c r="W134" s="16"/>
      <c r="X134" s="16"/>
      <c r="Y134" s="49">
        <f>262021.89</f>
        <v>262021.89</v>
      </c>
      <c r="Z134" s="49"/>
    </row>
    <row r="135" spans="1:26" s="1" customFormat="1" ht="14.1" customHeight="1" x14ac:dyDescent="0.2">
      <c r="A135" s="13" t="s">
        <v>108</v>
      </c>
      <c r="B135" s="13"/>
      <c r="C135" s="13"/>
      <c r="D135" s="13"/>
      <c r="E135" s="13"/>
      <c r="F135" s="13"/>
      <c r="G135" s="13"/>
      <c r="H135" s="13"/>
      <c r="I135" s="14" t="s">
        <v>104</v>
      </c>
      <c r="J135" s="14"/>
      <c r="K135" s="14"/>
      <c r="L135" s="14" t="s">
        <v>193</v>
      </c>
      <c r="M135" s="14"/>
      <c r="N135" s="14"/>
      <c r="O135" s="51" t="s">
        <v>109</v>
      </c>
      <c r="P135" s="51"/>
      <c r="Q135" s="16">
        <f>50000</f>
        <v>50000</v>
      </c>
      <c r="R135" s="16"/>
      <c r="S135" s="16"/>
      <c r="T135" s="16">
        <f>36558.04</f>
        <v>36558.04</v>
      </c>
      <c r="U135" s="16"/>
      <c r="V135" s="16"/>
      <c r="W135" s="16"/>
      <c r="X135" s="16"/>
      <c r="Y135" s="49">
        <f>13441.96</f>
        <v>13441.96</v>
      </c>
      <c r="Z135" s="49"/>
    </row>
    <row r="136" spans="1:26" s="1" customFormat="1" ht="14.1" customHeight="1" x14ac:dyDescent="0.2">
      <c r="A136" s="13" t="s">
        <v>194</v>
      </c>
      <c r="B136" s="13"/>
      <c r="C136" s="13"/>
      <c r="D136" s="13"/>
      <c r="E136" s="13"/>
      <c r="F136" s="13"/>
      <c r="G136" s="13"/>
      <c r="H136" s="13"/>
      <c r="I136" s="14" t="s">
        <v>104</v>
      </c>
      <c r="J136" s="14"/>
      <c r="K136" s="14"/>
      <c r="L136" s="14" t="s">
        <v>195</v>
      </c>
      <c r="M136" s="14"/>
      <c r="N136" s="14"/>
      <c r="O136" s="51" t="s">
        <v>196</v>
      </c>
      <c r="P136" s="51"/>
      <c r="Q136" s="16">
        <f>50000</f>
        <v>50000</v>
      </c>
      <c r="R136" s="16"/>
      <c r="S136" s="16"/>
      <c r="T136" s="16">
        <f>20802.12</f>
        <v>20802.12</v>
      </c>
      <c r="U136" s="16"/>
      <c r="V136" s="16"/>
      <c r="W136" s="16"/>
      <c r="X136" s="16"/>
      <c r="Y136" s="49">
        <f>29197.88</f>
        <v>29197.88</v>
      </c>
      <c r="Z136" s="49"/>
    </row>
    <row r="137" spans="1:26" s="1" customFormat="1" ht="14.1" customHeight="1" x14ac:dyDescent="0.2">
      <c r="A137" s="13" t="s">
        <v>110</v>
      </c>
      <c r="B137" s="13"/>
      <c r="C137" s="13"/>
      <c r="D137" s="13"/>
      <c r="E137" s="13"/>
      <c r="F137" s="13"/>
      <c r="G137" s="13"/>
      <c r="H137" s="13"/>
      <c r="I137" s="14" t="s">
        <v>104</v>
      </c>
      <c r="J137" s="14"/>
      <c r="K137" s="14"/>
      <c r="L137" s="14" t="s">
        <v>197</v>
      </c>
      <c r="M137" s="14"/>
      <c r="N137" s="14"/>
      <c r="O137" s="51" t="s">
        <v>112</v>
      </c>
      <c r="P137" s="51"/>
      <c r="Q137" s="16">
        <f>2159400</f>
        <v>2159400</v>
      </c>
      <c r="R137" s="16"/>
      <c r="S137" s="16"/>
      <c r="T137" s="16">
        <f>2051284.51</f>
        <v>2051284.51</v>
      </c>
      <c r="U137" s="16"/>
      <c r="V137" s="16"/>
      <c r="W137" s="16"/>
      <c r="X137" s="16"/>
      <c r="Y137" s="49">
        <f>108115.49</f>
        <v>108115.49</v>
      </c>
      <c r="Z137" s="49"/>
    </row>
    <row r="138" spans="1:26" s="1" customFormat="1" ht="14.1" customHeight="1" x14ac:dyDescent="0.2">
      <c r="A138" s="13" t="s">
        <v>129</v>
      </c>
      <c r="B138" s="13"/>
      <c r="C138" s="13"/>
      <c r="D138" s="13"/>
      <c r="E138" s="13"/>
      <c r="F138" s="13"/>
      <c r="G138" s="13"/>
      <c r="H138" s="13"/>
      <c r="I138" s="14" t="s">
        <v>104</v>
      </c>
      <c r="J138" s="14"/>
      <c r="K138" s="14"/>
      <c r="L138" s="14" t="s">
        <v>198</v>
      </c>
      <c r="M138" s="14"/>
      <c r="N138" s="14"/>
      <c r="O138" s="51" t="s">
        <v>131</v>
      </c>
      <c r="P138" s="51"/>
      <c r="Q138" s="16">
        <f>27300</f>
        <v>27300</v>
      </c>
      <c r="R138" s="16"/>
      <c r="S138" s="16"/>
      <c r="T138" s="16">
        <f>24767.11</f>
        <v>24767.11</v>
      </c>
      <c r="U138" s="16"/>
      <c r="V138" s="16"/>
      <c r="W138" s="16"/>
      <c r="X138" s="16"/>
      <c r="Y138" s="49">
        <f>2532.89</f>
        <v>2532.89</v>
      </c>
      <c r="Z138" s="49"/>
    </row>
    <row r="139" spans="1:26" s="1" customFormat="1" ht="14.1" customHeight="1" x14ac:dyDescent="0.2">
      <c r="A139" s="13" t="s">
        <v>137</v>
      </c>
      <c r="B139" s="13"/>
      <c r="C139" s="13"/>
      <c r="D139" s="13"/>
      <c r="E139" s="13"/>
      <c r="F139" s="13"/>
      <c r="G139" s="13"/>
      <c r="H139" s="13"/>
      <c r="I139" s="14" t="s">
        <v>104</v>
      </c>
      <c r="J139" s="14"/>
      <c r="K139" s="14"/>
      <c r="L139" s="14" t="s">
        <v>198</v>
      </c>
      <c r="M139" s="14"/>
      <c r="N139" s="14"/>
      <c r="O139" s="51" t="s">
        <v>139</v>
      </c>
      <c r="P139" s="51"/>
      <c r="Q139" s="16">
        <f>50000</f>
        <v>50000</v>
      </c>
      <c r="R139" s="16"/>
      <c r="S139" s="16"/>
      <c r="T139" s="16">
        <f>32683.52</f>
        <v>32683.52</v>
      </c>
      <c r="U139" s="16"/>
      <c r="V139" s="16"/>
      <c r="W139" s="16"/>
      <c r="X139" s="16"/>
      <c r="Y139" s="49">
        <f>17316.48</f>
        <v>17316.48</v>
      </c>
      <c r="Z139" s="49"/>
    </row>
    <row r="140" spans="1:26" s="1" customFormat="1" ht="14.1" customHeight="1" x14ac:dyDescent="0.2">
      <c r="A140" s="13" t="s">
        <v>140</v>
      </c>
      <c r="B140" s="13"/>
      <c r="C140" s="13"/>
      <c r="D140" s="13"/>
      <c r="E140" s="13"/>
      <c r="F140" s="13"/>
      <c r="G140" s="13"/>
      <c r="H140" s="13"/>
      <c r="I140" s="14" t="s">
        <v>104</v>
      </c>
      <c r="J140" s="14"/>
      <c r="K140" s="14"/>
      <c r="L140" s="14" t="s">
        <v>198</v>
      </c>
      <c r="M140" s="14"/>
      <c r="N140" s="14"/>
      <c r="O140" s="51" t="s">
        <v>141</v>
      </c>
      <c r="P140" s="51"/>
      <c r="Q140" s="16">
        <f>26400</f>
        <v>26400</v>
      </c>
      <c r="R140" s="16"/>
      <c r="S140" s="16"/>
      <c r="T140" s="16">
        <f>25705.42</f>
        <v>25705.42</v>
      </c>
      <c r="U140" s="16"/>
      <c r="V140" s="16"/>
      <c r="W140" s="16"/>
      <c r="X140" s="16"/>
      <c r="Y140" s="49">
        <f>694.58</f>
        <v>694.58</v>
      </c>
      <c r="Z140" s="49"/>
    </row>
    <row r="141" spans="1:26" s="1" customFormat="1" ht="14.1" customHeight="1" x14ac:dyDescent="0.2">
      <c r="A141" s="13" t="s">
        <v>132</v>
      </c>
      <c r="B141" s="13"/>
      <c r="C141" s="13"/>
      <c r="D141" s="13"/>
      <c r="E141" s="13"/>
      <c r="F141" s="13"/>
      <c r="G141" s="13"/>
      <c r="H141" s="13"/>
      <c r="I141" s="14" t="s">
        <v>104</v>
      </c>
      <c r="J141" s="14"/>
      <c r="K141" s="14"/>
      <c r="L141" s="14" t="s">
        <v>198</v>
      </c>
      <c r="M141" s="14"/>
      <c r="N141" s="14"/>
      <c r="O141" s="51" t="s">
        <v>133</v>
      </c>
      <c r="P141" s="51"/>
      <c r="Q141" s="16">
        <f>1155605.53</f>
        <v>1155605.53</v>
      </c>
      <c r="R141" s="16"/>
      <c r="S141" s="16"/>
      <c r="T141" s="16">
        <f>1155605.53</f>
        <v>1155605.53</v>
      </c>
      <c r="U141" s="16"/>
      <c r="V141" s="16"/>
      <c r="W141" s="16"/>
      <c r="X141" s="16"/>
      <c r="Y141" s="49">
        <f>0</f>
        <v>0</v>
      </c>
      <c r="Z141" s="49"/>
    </row>
    <row r="142" spans="1:26" s="1" customFormat="1" ht="14.1" customHeight="1" x14ac:dyDescent="0.2">
      <c r="A142" s="13" t="s">
        <v>126</v>
      </c>
      <c r="B142" s="13"/>
      <c r="C142" s="13"/>
      <c r="D142" s="13"/>
      <c r="E142" s="13"/>
      <c r="F142" s="13"/>
      <c r="G142" s="13"/>
      <c r="H142" s="13"/>
      <c r="I142" s="14" t="s">
        <v>104</v>
      </c>
      <c r="J142" s="14"/>
      <c r="K142" s="14"/>
      <c r="L142" s="14" t="s">
        <v>198</v>
      </c>
      <c r="M142" s="14"/>
      <c r="N142" s="14"/>
      <c r="O142" s="51" t="s">
        <v>128</v>
      </c>
      <c r="P142" s="51"/>
      <c r="Q142" s="16">
        <f>1587797.47</f>
        <v>1587797.47</v>
      </c>
      <c r="R142" s="16"/>
      <c r="S142" s="16"/>
      <c r="T142" s="16">
        <f>984888</f>
        <v>984888</v>
      </c>
      <c r="U142" s="16"/>
      <c r="V142" s="16"/>
      <c r="W142" s="16"/>
      <c r="X142" s="16"/>
      <c r="Y142" s="49">
        <f>602909.47</f>
        <v>602909.47</v>
      </c>
      <c r="Z142" s="49"/>
    </row>
    <row r="143" spans="1:26" s="1" customFormat="1" ht="14.1" customHeight="1" x14ac:dyDescent="0.2">
      <c r="A143" s="13" t="s">
        <v>108</v>
      </c>
      <c r="B143" s="13"/>
      <c r="C143" s="13"/>
      <c r="D143" s="13"/>
      <c r="E143" s="13"/>
      <c r="F143" s="13"/>
      <c r="G143" s="13"/>
      <c r="H143" s="13"/>
      <c r="I143" s="14" t="s">
        <v>104</v>
      </c>
      <c r="J143" s="14"/>
      <c r="K143" s="14"/>
      <c r="L143" s="14" t="s">
        <v>198</v>
      </c>
      <c r="M143" s="14"/>
      <c r="N143" s="14"/>
      <c r="O143" s="51" t="s">
        <v>109</v>
      </c>
      <c r="P143" s="51"/>
      <c r="Q143" s="16">
        <f>3000</f>
        <v>3000</v>
      </c>
      <c r="R143" s="16"/>
      <c r="S143" s="16"/>
      <c r="T143" s="20" t="s">
        <v>39</v>
      </c>
      <c r="U143" s="20"/>
      <c r="V143" s="20"/>
      <c r="W143" s="20"/>
      <c r="X143" s="20"/>
      <c r="Y143" s="49">
        <f>3000</f>
        <v>3000</v>
      </c>
      <c r="Z143" s="49"/>
    </row>
    <row r="144" spans="1:26" s="1" customFormat="1" ht="14.1" customHeight="1" x14ac:dyDescent="0.2">
      <c r="A144" s="13" t="s">
        <v>134</v>
      </c>
      <c r="B144" s="13"/>
      <c r="C144" s="13"/>
      <c r="D144" s="13"/>
      <c r="E144" s="13"/>
      <c r="F144" s="13"/>
      <c r="G144" s="13"/>
      <c r="H144" s="13"/>
      <c r="I144" s="14" t="s">
        <v>104</v>
      </c>
      <c r="J144" s="14"/>
      <c r="K144" s="14"/>
      <c r="L144" s="14" t="s">
        <v>198</v>
      </c>
      <c r="M144" s="14"/>
      <c r="N144" s="14"/>
      <c r="O144" s="51" t="s">
        <v>135</v>
      </c>
      <c r="P144" s="51"/>
      <c r="Q144" s="20" t="s">
        <v>39</v>
      </c>
      <c r="R144" s="20"/>
      <c r="S144" s="20"/>
      <c r="T144" s="16">
        <f>0</f>
        <v>0</v>
      </c>
      <c r="U144" s="16"/>
      <c r="V144" s="16"/>
      <c r="W144" s="16"/>
      <c r="X144" s="16"/>
      <c r="Y144" s="52" t="s">
        <v>39</v>
      </c>
      <c r="Z144" s="52"/>
    </row>
    <row r="145" spans="1:26" s="1" customFormat="1" ht="14.1" customHeight="1" x14ac:dyDescent="0.2">
      <c r="A145" s="13" t="s">
        <v>199</v>
      </c>
      <c r="B145" s="13"/>
      <c r="C145" s="13"/>
      <c r="D145" s="13"/>
      <c r="E145" s="13"/>
      <c r="F145" s="13"/>
      <c r="G145" s="13"/>
      <c r="H145" s="13"/>
      <c r="I145" s="14" t="s">
        <v>104</v>
      </c>
      <c r="J145" s="14"/>
      <c r="K145" s="14"/>
      <c r="L145" s="14" t="s">
        <v>198</v>
      </c>
      <c r="M145" s="14"/>
      <c r="N145" s="14"/>
      <c r="O145" s="51" t="s">
        <v>200</v>
      </c>
      <c r="P145" s="51"/>
      <c r="Q145" s="16">
        <f>37397</f>
        <v>37397</v>
      </c>
      <c r="R145" s="16"/>
      <c r="S145" s="16"/>
      <c r="T145" s="16">
        <f>37397</f>
        <v>37397</v>
      </c>
      <c r="U145" s="16"/>
      <c r="V145" s="16"/>
      <c r="W145" s="16"/>
      <c r="X145" s="16"/>
      <c r="Y145" s="49">
        <f>0</f>
        <v>0</v>
      </c>
      <c r="Z145" s="49"/>
    </row>
    <row r="146" spans="1:26" s="1" customFormat="1" ht="14.1" customHeight="1" x14ac:dyDescent="0.2">
      <c r="A146" s="13" t="s">
        <v>115</v>
      </c>
      <c r="B146" s="13"/>
      <c r="C146" s="13"/>
      <c r="D146" s="13"/>
      <c r="E146" s="13"/>
      <c r="F146" s="13"/>
      <c r="G146" s="13"/>
      <c r="H146" s="13"/>
      <c r="I146" s="14" t="s">
        <v>104</v>
      </c>
      <c r="J146" s="14"/>
      <c r="K146" s="14"/>
      <c r="L146" s="14" t="s">
        <v>198</v>
      </c>
      <c r="M146" s="14"/>
      <c r="N146" s="14"/>
      <c r="O146" s="51" t="s">
        <v>117</v>
      </c>
      <c r="P146" s="51"/>
      <c r="Q146" s="16">
        <f>97500</f>
        <v>97500</v>
      </c>
      <c r="R146" s="16"/>
      <c r="S146" s="16"/>
      <c r="T146" s="16">
        <f>97331.01</f>
        <v>97331.01</v>
      </c>
      <c r="U146" s="16"/>
      <c r="V146" s="16"/>
      <c r="W146" s="16"/>
      <c r="X146" s="16"/>
      <c r="Y146" s="49">
        <f>168.99</f>
        <v>168.99</v>
      </c>
      <c r="Z146" s="49"/>
    </row>
    <row r="147" spans="1:26" s="1" customFormat="1" ht="14.1" customHeight="1" x14ac:dyDescent="0.2">
      <c r="A147" s="13" t="s">
        <v>140</v>
      </c>
      <c r="B147" s="13"/>
      <c r="C147" s="13"/>
      <c r="D147" s="13"/>
      <c r="E147" s="13"/>
      <c r="F147" s="13"/>
      <c r="G147" s="13"/>
      <c r="H147" s="13"/>
      <c r="I147" s="14" t="s">
        <v>104</v>
      </c>
      <c r="J147" s="14"/>
      <c r="K147" s="14"/>
      <c r="L147" s="14" t="s">
        <v>201</v>
      </c>
      <c r="M147" s="14"/>
      <c r="N147" s="14"/>
      <c r="O147" s="51" t="s">
        <v>141</v>
      </c>
      <c r="P147" s="51"/>
      <c r="Q147" s="16">
        <f>1200000</f>
        <v>1200000</v>
      </c>
      <c r="R147" s="16"/>
      <c r="S147" s="16"/>
      <c r="T147" s="16">
        <f>877942.74</f>
        <v>877942.74</v>
      </c>
      <c r="U147" s="16"/>
      <c r="V147" s="16"/>
      <c r="W147" s="16"/>
      <c r="X147" s="16"/>
      <c r="Y147" s="49">
        <f>322057.26</f>
        <v>322057.26</v>
      </c>
      <c r="Z147" s="49"/>
    </row>
    <row r="148" spans="1:26" s="1" customFormat="1" ht="24" customHeight="1" x14ac:dyDescent="0.2">
      <c r="A148" s="13" t="s">
        <v>149</v>
      </c>
      <c r="B148" s="13"/>
      <c r="C148" s="13"/>
      <c r="D148" s="13"/>
      <c r="E148" s="13"/>
      <c r="F148" s="13"/>
      <c r="G148" s="13"/>
      <c r="H148" s="13"/>
      <c r="I148" s="14" t="s">
        <v>104</v>
      </c>
      <c r="J148" s="14"/>
      <c r="K148" s="14"/>
      <c r="L148" s="14" t="s">
        <v>202</v>
      </c>
      <c r="M148" s="14"/>
      <c r="N148" s="14"/>
      <c r="O148" s="51" t="s">
        <v>151</v>
      </c>
      <c r="P148" s="51"/>
      <c r="Q148" s="16">
        <f>17000</f>
        <v>17000</v>
      </c>
      <c r="R148" s="16"/>
      <c r="S148" s="16"/>
      <c r="T148" s="16">
        <f>11005.78</f>
        <v>11005.78</v>
      </c>
      <c r="U148" s="16"/>
      <c r="V148" s="16"/>
      <c r="W148" s="16"/>
      <c r="X148" s="16"/>
      <c r="Y148" s="49">
        <f>5994.22</f>
        <v>5994.22</v>
      </c>
      <c r="Z148" s="49"/>
    </row>
    <row r="149" spans="1:26" s="1" customFormat="1" ht="24" customHeight="1" x14ac:dyDescent="0.2">
      <c r="A149" s="13" t="s">
        <v>152</v>
      </c>
      <c r="B149" s="13"/>
      <c r="C149" s="13"/>
      <c r="D149" s="13"/>
      <c r="E149" s="13"/>
      <c r="F149" s="13"/>
      <c r="G149" s="13"/>
      <c r="H149" s="13"/>
      <c r="I149" s="14" t="s">
        <v>104</v>
      </c>
      <c r="J149" s="14"/>
      <c r="K149" s="14"/>
      <c r="L149" s="14" t="s">
        <v>202</v>
      </c>
      <c r="M149" s="14"/>
      <c r="N149" s="14"/>
      <c r="O149" s="51" t="s">
        <v>153</v>
      </c>
      <c r="P149" s="51"/>
      <c r="Q149" s="16">
        <f>3000</f>
        <v>3000</v>
      </c>
      <c r="R149" s="16"/>
      <c r="S149" s="16"/>
      <c r="T149" s="16">
        <f>31.31</f>
        <v>31.31</v>
      </c>
      <c r="U149" s="16"/>
      <c r="V149" s="16"/>
      <c r="W149" s="16"/>
      <c r="X149" s="16"/>
      <c r="Y149" s="49">
        <f>2968.69</f>
        <v>2968.69</v>
      </c>
      <c r="Z149" s="49"/>
    </row>
    <row r="150" spans="1:26" s="1" customFormat="1" ht="14.1" customHeight="1" x14ac:dyDescent="0.2">
      <c r="A150" s="13" t="s">
        <v>134</v>
      </c>
      <c r="B150" s="13"/>
      <c r="C150" s="13"/>
      <c r="D150" s="13"/>
      <c r="E150" s="13"/>
      <c r="F150" s="13"/>
      <c r="G150" s="13"/>
      <c r="H150" s="13"/>
      <c r="I150" s="14" t="s">
        <v>104</v>
      </c>
      <c r="J150" s="14"/>
      <c r="K150" s="14"/>
      <c r="L150" s="14" t="s">
        <v>203</v>
      </c>
      <c r="M150" s="14"/>
      <c r="N150" s="14"/>
      <c r="O150" s="51" t="s">
        <v>135</v>
      </c>
      <c r="P150" s="51"/>
      <c r="Q150" s="16">
        <f>1000000</f>
        <v>1000000</v>
      </c>
      <c r="R150" s="16"/>
      <c r="S150" s="16"/>
      <c r="T150" s="16">
        <f>671777</f>
        <v>671777</v>
      </c>
      <c r="U150" s="16"/>
      <c r="V150" s="16"/>
      <c r="W150" s="16"/>
      <c r="X150" s="16"/>
      <c r="Y150" s="49">
        <f>328223</f>
        <v>328223</v>
      </c>
      <c r="Z150" s="49"/>
    </row>
    <row r="151" spans="1:26" s="1" customFormat="1" ht="14.1" customHeight="1" x14ac:dyDescent="0.2">
      <c r="A151" s="13" t="s">
        <v>105</v>
      </c>
      <c r="B151" s="13"/>
      <c r="C151" s="13"/>
      <c r="D151" s="13"/>
      <c r="E151" s="13"/>
      <c r="F151" s="13"/>
      <c r="G151" s="13"/>
      <c r="H151" s="13"/>
      <c r="I151" s="14" t="s">
        <v>104</v>
      </c>
      <c r="J151" s="14"/>
      <c r="K151" s="14"/>
      <c r="L151" s="14" t="s">
        <v>204</v>
      </c>
      <c r="M151" s="14"/>
      <c r="N151" s="14"/>
      <c r="O151" s="51" t="s">
        <v>107</v>
      </c>
      <c r="P151" s="51"/>
      <c r="Q151" s="16">
        <f>231500</f>
        <v>231500</v>
      </c>
      <c r="R151" s="16"/>
      <c r="S151" s="16"/>
      <c r="T151" s="16">
        <f>231500</f>
        <v>231500</v>
      </c>
      <c r="U151" s="16"/>
      <c r="V151" s="16"/>
      <c r="W151" s="16"/>
      <c r="X151" s="16"/>
      <c r="Y151" s="49">
        <f>0</f>
        <v>0</v>
      </c>
      <c r="Z151" s="49"/>
    </row>
    <row r="152" spans="1:26" s="1" customFormat="1" ht="14.1" customHeight="1" x14ac:dyDescent="0.2">
      <c r="A152" s="13" t="s">
        <v>110</v>
      </c>
      <c r="B152" s="13"/>
      <c r="C152" s="13"/>
      <c r="D152" s="13"/>
      <c r="E152" s="13"/>
      <c r="F152" s="13"/>
      <c r="G152" s="13"/>
      <c r="H152" s="13"/>
      <c r="I152" s="14" t="s">
        <v>104</v>
      </c>
      <c r="J152" s="14"/>
      <c r="K152" s="14"/>
      <c r="L152" s="14" t="s">
        <v>205</v>
      </c>
      <c r="M152" s="14"/>
      <c r="N152" s="14"/>
      <c r="O152" s="51" t="s">
        <v>112</v>
      </c>
      <c r="P152" s="51"/>
      <c r="Q152" s="16">
        <f>69900</f>
        <v>69900</v>
      </c>
      <c r="R152" s="16"/>
      <c r="S152" s="16"/>
      <c r="T152" s="16">
        <f>69900</f>
        <v>69900</v>
      </c>
      <c r="U152" s="16"/>
      <c r="V152" s="16"/>
      <c r="W152" s="16"/>
      <c r="X152" s="16"/>
      <c r="Y152" s="49">
        <f>0</f>
        <v>0</v>
      </c>
      <c r="Z152" s="49"/>
    </row>
    <row r="153" spans="1:26" s="1" customFormat="1" ht="14.1" customHeight="1" x14ac:dyDescent="0.2">
      <c r="A153" s="13" t="s">
        <v>134</v>
      </c>
      <c r="B153" s="13"/>
      <c r="C153" s="13"/>
      <c r="D153" s="13"/>
      <c r="E153" s="13"/>
      <c r="F153" s="13"/>
      <c r="G153" s="13"/>
      <c r="H153" s="13"/>
      <c r="I153" s="14" t="s">
        <v>104</v>
      </c>
      <c r="J153" s="14"/>
      <c r="K153" s="14"/>
      <c r="L153" s="14" t="s">
        <v>206</v>
      </c>
      <c r="M153" s="14"/>
      <c r="N153" s="14"/>
      <c r="O153" s="51" t="s">
        <v>135</v>
      </c>
      <c r="P153" s="51"/>
      <c r="Q153" s="16">
        <f>600000</f>
        <v>600000</v>
      </c>
      <c r="R153" s="16"/>
      <c r="S153" s="16"/>
      <c r="T153" s="16">
        <f>600000</f>
        <v>600000</v>
      </c>
      <c r="U153" s="16"/>
      <c r="V153" s="16"/>
      <c r="W153" s="16"/>
      <c r="X153" s="16"/>
      <c r="Y153" s="49">
        <f>0</f>
        <v>0</v>
      </c>
      <c r="Z153" s="49"/>
    </row>
    <row r="154" spans="1:26" s="1" customFormat="1" ht="14.1" customHeight="1" x14ac:dyDescent="0.2">
      <c r="A154" s="13" t="s">
        <v>105</v>
      </c>
      <c r="B154" s="13"/>
      <c r="C154" s="13"/>
      <c r="D154" s="13"/>
      <c r="E154" s="13"/>
      <c r="F154" s="13"/>
      <c r="G154" s="13"/>
      <c r="H154" s="13"/>
      <c r="I154" s="14" t="s">
        <v>104</v>
      </c>
      <c r="J154" s="14"/>
      <c r="K154" s="14"/>
      <c r="L154" s="14" t="s">
        <v>207</v>
      </c>
      <c r="M154" s="14"/>
      <c r="N154" s="14"/>
      <c r="O154" s="51" t="s">
        <v>107</v>
      </c>
      <c r="P154" s="51"/>
      <c r="Q154" s="16">
        <f>2428760.85</f>
        <v>2428760.85</v>
      </c>
      <c r="R154" s="16"/>
      <c r="S154" s="16"/>
      <c r="T154" s="16">
        <f>2308752.5</f>
        <v>2308752.5</v>
      </c>
      <c r="U154" s="16"/>
      <c r="V154" s="16"/>
      <c r="W154" s="16"/>
      <c r="X154" s="16"/>
      <c r="Y154" s="49">
        <f>120008.35</f>
        <v>120008.35</v>
      </c>
      <c r="Z154" s="49"/>
    </row>
    <row r="155" spans="1:26" s="1" customFormat="1" ht="14.1" customHeight="1" x14ac:dyDescent="0.2">
      <c r="A155" s="13" t="s">
        <v>108</v>
      </c>
      <c r="B155" s="13"/>
      <c r="C155" s="13"/>
      <c r="D155" s="13"/>
      <c r="E155" s="13"/>
      <c r="F155" s="13"/>
      <c r="G155" s="13"/>
      <c r="H155" s="13"/>
      <c r="I155" s="14" t="s">
        <v>104</v>
      </c>
      <c r="J155" s="14"/>
      <c r="K155" s="14"/>
      <c r="L155" s="14" t="s">
        <v>207</v>
      </c>
      <c r="M155" s="14"/>
      <c r="N155" s="14"/>
      <c r="O155" s="51" t="s">
        <v>109</v>
      </c>
      <c r="P155" s="51"/>
      <c r="Q155" s="16">
        <f>50000</f>
        <v>50000</v>
      </c>
      <c r="R155" s="16"/>
      <c r="S155" s="16"/>
      <c r="T155" s="16">
        <f>8716.43</f>
        <v>8716.43</v>
      </c>
      <c r="U155" s="16"/>
      <c r="V155" s="16"/>
      <c r="W155" s="16"/>
      <c r="X155" s="16"/>
      <c r="Y155" s="49">
        <f>41283.57</f>
        <v>41283.57</v>
      </c>
      <c r="Z155" s="49"/>
    </row>
    <row r="156" spans="1:26" s="1" customFormat="1" ht="14.1" customHeight="1" x14ac:dyDescent="0.2">
      <c r="A156" s="13" t="s">
        <v>194</v>
      </c>
      <c r="B156" s="13"/>
      <c r="C156" s="13"/>
      <c r="D156" s="13"/>
      <c r="E156" s="13"/>
      <c r="F156" s="13"/>
      <c r="G156" s="13"/>
      <c r="H156" s="13"/>
      <c r="I156" s="14" t="s">
        <v>104</v>
      </c>
      <c r="J156" s="14"/>
      <c r="K156" s="14"/>
      <c r="L156" s="14" t="s">
        <v>208</v>
      </c>
      <c r="M156" s="14"/>
      <c r="N156" s="14"/>
      <c r="O156" s="51" t="s">
        <v>196</v>
      </c>
      <c r="P156" s="51"/>
      <c r="Q156" s="16">
        <f>21000</f>
        <v>21000</v>
      </c>
      <c r="R156" s="16"/>
      <c r="S156" s="16"/>
      <c r="T156" s="16">
        <f>20271.14</f>
        <v>20271.14</v>
      </c>
      <c r="U156" s="16"/>
      <c r="V156" s="16"/>
      <c r="W156" s="16"/>
      <c r="X156" s="16"/>
      <c r="Y156" s="49">
        <f>728.86</f>
        <v>728.86</v>
      </c>
      <c r="Z156" s="49"/>
    </row>
    <row r="157" spans="1:26" s="1" customFormat="1" ht="14.1" customHeight="1" x14ac:dyDescent="0.2">
      <c r="A157" s="13" t="s">
        <v>110</v>
      </c>
      <c r="B157" s="13"/>
      <c r="C157" s="13"/>
      <c r="D157" s="13"/>
      <c r="E157" s="13"/>
      <c r="F157" s="13"/>
      <c r="G157" s="13"/>
      <c r="H157" s="13"/>
      <c r="I157" s="14" t="s">
        <v>104</v>
      </c>
      <c r="J157" s="14"/>
      <c r="K157" s="14"/>
      <c r="L157" s="14" t="s">
        <v>209</v>
      </c>
      <c r="M157" s="14"/>
      <c r="N157" s="14"/>
      <c r="O157" s="51" t="s">
        <v>112</v>
      </c>
      <c r="P157" s="51"/>
      <c r="Q157" s="16">
        <f>695839.15</f>
        <v>695839.15</v>
      </c>
      <c r="R157" s="16"/>
      <c r="S157" s="16"/>
      <c r="T157" s="16">
        <f>695839.15</f>
        <v>695839.15</v>
      </c>
      <c r="U157" s="16"/>
      <c r="V157" s="16"/>
      <c r="W157" s="16"/>
      <c r="X157" s="16"/>
      <c r="Y157" s="49">
        <f>0</f>
        <v>0</v>
      </c>
      <c r="Z157" s="49"/>
    </row>
    <row r="158" spans="1:26" s="1" customFormat="1" ht="14.1" customHeight="1" x14ac:dyDescent="0.2">
      <c r="A158" s="13" t="s">
        <v>129</v>
      </c>
      <c r="B158" s="13"/>
      <c r="C158" s="13"/>
      <c r="D158" s="13"/>
      <c r="E158" s="13"/>
      <c r="F158" s="13"/>
      <c r="G158" s="13"/>
      <c r="H158" s="13"/>
      <c r="I158" s="14" t="s">
        <v>104</v>
      </c>
      <c r="J158" s="14"/>
      <c r="K158" s="14"/>
      <c r="L158" s="14" t="s">
        <v>210</v>
      </c>
      <c r="M158" s="14"/>
      <c r="N158" s="14"/>
      <c r="O158" s="51" t="s">
        <v>131</v>
      </c>
      <c r="P158" s="51"/>
      <c r="Q158" s="16">
        <f>54400</f>
        <v>54400</v>
      </c>
      <c r="R158" s="16"/>
      <c r="S158" s="16"/>
      <c r="T158" s="16">
        <f>50193.28</f>
        <v>50193.279999999999</v>
      </c>
      <c r="U158" s="16"/>
      <c r="V158" s="16"/>
      <c r="W158" s="16"/>
      <c r="X158" s="16"/>
      <c r="Y158" s="49">
        <f>4206.72</f>
        <v>4206.72</v>
      </c>
      <c r="Z158" s="49"/>
    </row>
    <row r="159" spans="1:26" s="1" customFormat="1" ht="14.1" customHeight="1" x14ac:dyDescent="0.2">
      <c r="A159" s="13" t="s">
        <v>140</v>
      </c>
      <c r="B159" s="13"/>
      <c r="C159" s="13"/>
      <c r="D159" s="13"/>
      <c r="E159" s="13"/>
      <c r="F159" s="13"/>
      <c r="G159" s="13"/>
      <c r="H159" s="13"/>
      <c r="I159" s="14" t="s">
        <v>104</v>
      </c>
      <c r="J159" s="14"/>
      <c r="K159" s="14"/>
      <c r="L159" s="14" t="s">
        <v>210</v>
      </c>
      <c r="M159" s="14"/>
      <c r="N159" s="14"/>
      <c r="O159" s="51" t="s">
        <v>141</v>
      </c>
      <c r="P159" s="51"/>
      <c r="Q159" s="16">
        <f>1800</f>
        <v>1800</v>
      </c>
      <c r="R159" s="16"/>
      <c r="S159" s="16"/>
      <c r="T159" s="16">
        <f>1779.84</f>
        <v>1779.84</v>
      </c>
      <c r="U159" s="16"/>
      <c r="V159" s="16"/>
      <c r="W159" s="16"/>
      <c r="X159" s="16"/>
      <c r="Y159" s="49">
        <f>20.16</f>
        <v>20.16</v>
      </c>
      <c r="Z159" s="49"/>
    </row>
    <row r="160" spans="1:26" s="1" customFormat="1" ht="14.1" customHeight="1" x14ac:dyDescent="0.2">
      <c r="A160" s="13" t="s">
        <v>132</v>
      </c>
      <c r="B160" s="13"/>
      <c r="C160" s="13"/>
      <c r="D160" s="13"/>
      <c r="E160" s="13"/>
      <c r="F160" s="13"/>
      <c r="G160" s="13"/>
      <c r="H160" s="13"/>
      <c r="I160" s="14" t="s">
        <v>104</v>
      </c>
      <c r="J160" s="14"/>
      <c r="K160" s="14"/>
      <c r="L160" s="14" t="s">
        <v>210</v>
      </c>
      <c r="M160" s="14"/>
      <c r="N160" s="14"/>
      <c r="O160" s="51" t="s">
        <v>133</v>
      </c>
      <c r="P160" s="51"/>
      <c r="Q160" s="16">
        <f>1500</f>
        <v>1500</v>
      </c>
      <c r="R160" s="16"/>
      <c r="S160" s="16"/>
      <c r="T160" s="16">
        <f>920</f>
        <v>920</v>
      </c>
      <c r="U160" s="16"/>
      <c r="V160" s="16"/>
      <c r="W160" s="16"/>
      <c r="X160" s="16"/>
      <c r="Y160" s="49">
        <f>580</f>
        <v>580</v>
      </c>
      <c r="Z160" s="49"/>
    </row>
    <row r="161" spans="1:26" s="1" customFormat="1" ht="14.1" customHeight="1" x14ac:dyDescent="0.2">
      <c r="A161" s="13" t="s">
        <v>126</v>
      </c>
      <c r="B161" s="13"/>
      <c r="C161" s="13"/>
      <c r="D161" s="13"/>
      <c r="E161" s="13"/>
      <c r="F161" s="13"/>
      <c r="G161" s="13"/>
      <c r="H161" s="13"/>
      <c r="I161" s="14" t="s">
        <v>104</v>
      </c>
      <c r="J161" s="14"/>
      <c r="K161" s="14"/>
      <c r="L161" s="14" t="s">
        <v>210</v>
      </c>
      <c r="M161" s="14"/>
      <c r="N161" s="14"/>
      <c r="O161" s="51" t="s">
        <v>128</v>
      </c>
      <c r="P161" s="51"/>
      <c r="Q161" s="16">
        <f>141300</f>
        <v>141300</v>
      </c>
      <c r="R161" s="16"/>
      <c r="S161" s="16"/>
      <c r="T161" s="16">
        <f>87916.69</f>
        <v>87916.69</v>
      </c>
      <c r="U161" s="16"/>
      <c r="V161" s="16"/>
      <c r="W161" s="16"/>
      <c r="X161" s="16"/>
      <c r="Y161" s="49">
        <f>53383.31</f>
        <v>53383.31</v>
      </c>
      <c r="Z161" s="49"/>
    </row>
    <row r="162" spans="1:26" s="1" customFormat="1" ht="14.1" customHeight="1" x14ac:dyDescent="0.2">
      <c r="A162" s="13" t="s">
        <v>134</v>
      </c>
      <c r="B162" s="13"/>
      <c r="C162" s="13"/>
      <c r="D162" s="13"/>
      <c r="E162" s="13"/>
      <c r="F162" s="13"/>
      <c r="G162" s="13"/>
      <c r="H162" s="13"/>
      <c r="I162" s="14" t="s">
        <v>104</v>
      </c>
      <c r="J162" s="14"/>
      <c r="K162" s="14"/>
      <c r="L162" s="14" t="s">
        <v>210</v>
      </c>
      <c r="M162" s="14"/>
      <c r="N162" s="14"/>
      <c r="O162" s="51" t="s">
        <v>135</v>
      </c>
      <c r="P162" s="51"/>
      <c r="Q162" s="20" t="s">
        <v>39</v>
      </c>
      <c r="R162" s="20"/>
      <c r="S162" s="20"/>
      <c r="T162" s="16">
        <f>0</f>
        <v>0</v>
      </c>
      <c r="U162" s="16"/>
      <c r="V162" s="16"/>
      <c r="W162" s="16"/>
      <c r="X162" s="16"/>
      <c r="Y162" s="52" t="s">
        <v>39</v>
      </c>
      <c r="Z162" s="52"/>
    </row>
    <row r="163" spans="1:26" s="1" customFormat="1" ht="14.1" customHeight="1" x14ac:dyDescent="0.2">
      <c r="A163" s="13" t="s">
        <v>115</v>
      </c>
      <c r="B163" s="13"/>
      <c r="C163" s="13"/>
      <c r="D163" s="13"/>
      <c r="E163" s="13"/>
      <c r="F163" s="13"/>
      <c r="G163" s="13"/>
      <c r="H163" s="13"/>
      <c r="I163" s="14" t="s">
        <v>104</v>
      </c>
      <c r="J163" s="14"/>
      <c r="K163" s="14"/>
      <c r="L163" s="14" t="s">
        <v>210</v>
      </c>
      <c r="M163" s="14"/>
      <c r="N163" s="14"/>
      <c r="O163" s="51" t="s">
        <v>117</v>
      </c>
      <c r="P163" s="51"/>
      <c r="Q163" s="16">
        <f>21000</f>
        <v>21000</v>
      </c>
      <c r="R163" s="16"/>
      <c r="S163" s="16"/>
      <c r="T163" s="16">
        <f>20009</f>
        <v>20009</v>
      </c>
      <c r="U163" s="16"/>
      <c r="V163" s="16"/>
      <c r="W163" s="16"/>
      <c r="X163" s="16"/>
      <c r="Y163" s="49">
        <f>991</f>
        <v>991</v>
      </c>
      <c r="Z163" s="49"/>
    </row>
    <row r="164" spans="1:26" s="1" customFormat="1" ht="24" customHeight="1" x14ac:dyDescent="0.2">
      <c r="A164" s="13" t="s">
        <v>149</v>
      </c>
      <c r="B164" s="13"/>
      <c r="C164" s="13"/>
      <c r="D164" s="13"/>
      <c r="E164" s="13"/>
      <c r="F164" s="13"/>
      <c r="G164" s="13"/>
      <c r="H164" s="13"/>
      <c r="I164" s="14" t="s">
        <v>104</v>
      </c>
      <c r="J164" s="14"/>
      <c r="K164" s="14"/>
      <c r="L164" s="14" t="s">
        <v>211</v>
      </c>
      <c r="M164" s="14"/>
      <c r="N164" s="14"/>
      <c r="O164" s="51" t="s">
        <v>151</v>
      </c>
      <c r="P164" s="51"/>
      <c r="Q164" s="16">
        <f>5000</f>
        <v>5000</v>
      </c>
      <c r="R164" s="16"/>
      <c r="S164" s="16"/>
      <c r="T164" s="20" t="s">
        <v>39</v>
      </c>
      <c r="U164" s="20"/>
      <c r="V164" s="20"/>
      <c r="W164" s="20"/>
      <c r="X164" s="20"/>
      <c r="Y164" s="49">
        <f>5000</f>
        <v>5000</v>
      </c>
      <c r="Z164" s="49"/>
    </row>
    <row r="165" spans="1:26" s="1" customFormat="1" ht="14.1" customHeight="1" x14ac:dyDescent="0.2">
      <c r="A165" s="13" t="s">
        <v>134</v>
      </c>
      <c r="B165" s="13"/>
      <c r="C165" s="13"/>
      <c r="D165" s="13"/>
      <c r="E165" s="13"/>
      <c r="F165" s="13"/>
      <c r="G165" s="13"/>
      <c r="H165" s="13"/>
      <c r="I165" s="14" t="s">
        <v>104</v>
      </c>
      <c r="J165" s="14"/>
      <c r="K165" s="14"/>
      <c r="L165" s="14" t="s">
        <v>212</v>
      </c>
      <c r="M165" s="14"/>
      <c r="N165" s="14"/>
      <c r="O165" s="51" t="s">
        <v>135</v>
      </c>
      <c r="P165" s="51"/>
      <c r="Q165" s="16">
        <f>276000</f>
        <v>276000</v>
      </c>
      <c r="R165" s="16"/>
      <c r="S165" s="16"/>
      <c r="T165" s="16">
        <f>104000</f>
        <v>104000</v>
      </c>
      <c r="U165" s="16"/>
      <c r="V165" s="16"/>
      <c r="W165" s="16"/>
      <c r="X165" s="16"/>
      <c r="Y165" s="49">
        <f>172000</f>
        <v>172000</v>
      </c>
      <c r="Z165" s="49"/>
    </row>
    <row r="166" spans="1:26" s="1" customFormat="1" ht="14.1" customHeight="1" x14ac:dyDescent="0.2">
      <c r="A166" s="13" t="s">
        <v>105</v>
      </c>
      <c r="B166" s="13"/>
      <c r="C166" s="13"/>
      <c r="D166" s="13"/>
      <c r="E166" s="13"/>
      <c r="F166" s="13"/>
      <c r="G166" s="13"/>
      <c r="H166" s="13"/>
      <c r="I166" s="14" t="s">
        <v>104</v>
      </c>
      <c r="J166" s="14"/>
      <c r="K166" s="14"/>
      <c r="L166" s="14" t="s">
        <v>213</v>
      </c>
      <c r="M166" s="14"/>
      <c r="N166" s="14"/>
      <c r="O166" s="51" t="s">
        <v>107</v>
      </c>
      <c r="P166" s="51"/>
      <c r="Q166" s="16">
        <f>92500</f>
        <v>92500</v>
      </c>
      <c r="R166" s="16"/>
      <c r="S166" s="16"/>
      <c r="T166" s="16">
        <f>92500</f>
        <v>92500</v>
      </c>
      <c r="U166" s="16"/>
      <c r="V166" s="16"/>
      <c r="W166" s="16"/>
      <c r="X166" s="16"/>
      <c r="Y166" s="49">
        <f>0</f>
        <v>0</v>
      </c>
      <c r="Z166" s="49"/>
    </row>
    <row r="167" spans="1:26" s="1" customFormat="1" ht="14.1" customHeight="1" x14ac:dyDescent="0.2">
      <c r="A167" s="13" t="s">
        <v>110</v>
      </c>
      <c r="B167" s="13"/>
      <c r="C167" s="13"/>
      <c r="D167" s="13"/>
      <c r="E167" s="13"/>
      <c r="F167" s="13"/>
      <c r="G167" s="13"/>
      <c r="H167" s="13"/>
      <c r="I167" s="14" t="s">
        <v>104</v>
      </c>
      <c r="J167" s="14"/>
      <c r="K167" s="14"/>
      <c r="L167" s="14" t="s">
        <v>214</v>
      </c>
      <c r="M167" s="14"/>
      <c r="N167" s="14"/>
      <c r="O167" s="51" t="s">
        <v>112</v>
      </c>
      <c r="P167" s="51"/>
      <c r="Q167" s="16">
        <f>28100</f>
        <v>28100</v>
      </c>
      <c r="R167" s="16"/>
      <c r="S167" s="16"/>
      <c r="T167" s="16">
        <f>28100</f>
        <v>28100</v>
      </c>
      <c r="U167" s="16"/>
      <c r="V167" s="16"/>
      <c r="W167" s="16"/>
      <c r="X167" s="16"/>
      <c r="Y167" s="49">
        <f>0</f>
        <v>0</v>
      </c>
      <c r="Z167" s="49"/>
    </row>
    <row r="168" spans="1:26" s="1" customFormat="1" ht="14.1" customHeight="1" x14ac:dyDescent="0.2">
      <c r="A168" s="13" t="s">
        <v>126</v>
      </c>
      <c r="B168" s="13"/>
      <c r="C168" s="13"/>
      <c r="D168" s="13"/>
      <c r="E168" s="13"/>
      <c r="F168" s="13"/>
      <c r="G168" s="13"/>
      <c r="H168" s="13"/>
      <c r="I168" s="14" t="s">
        <v>104</v>
      </c>
      <c r="J168" s="14"/>
      <c r="K168" s="14"/>
      <c r="L168" s="14" t="s">
        <v>215</v>
      </c>
      <c r="M168" s="14"/>
      <c r="N168" s="14"/>
      <c r="O168" s="51" t="s">
        <v>128</v>
      </c>
      <c r="P168" s="51"/>
      <c r="Q168" s="16">
        <f>239900</f>
        <v>239900</v>
      </c>
      <c r="R168" s="16"/>
      <c r="S168" s="16"/>
      <c r="T168" s="16">
        <f>239700</f>
        <v>239700</v>
      </c>
      <c r="U168" s="16"/>
      <c r="V168" s="16"/>
      <c r="W168" s="16"/>
      <c r="X168" s="16"/>
      <c r="Y168" s="49">
        <f>200</f>
        <v>200</v>
      </c>
      <c r="Z168" s="49"/>
    </row>
    <row r="169" spans="1:26" s="1" customFormat="1" ht="24" customHeight="1" x14ac:dyDescent="0.2">
      <c r="A169" s="13" t="s">
        <v>155</v>
      </c>
      <c r="B169" s="13"/>
      <c r="C169" s="13"/>
      <c r="D169" s="13"/>
      <c r="E169" s="13"/>
      <c r="F169" s="13"/>
      <c r="G169" s="13"/>
      <c r="H169" s="13"/>
      <c r="I169" s="14" t="s">
        <v>104</v>
      </c>
      <c r="J169" s="14"/>
      <c r="K169" s="14"/>
      <c r="L169" s="14" t="s">
        <v>215</v>
      </c>
      <c r="M169" s="14"/>
      <c r="N169" s="14"/>
      <c r="O169" s="51" t="s">
        <v>157</v>
      </c>
      <c r="P169" s="51"/>
      <c r="Q169" s="16">
        <f>360100</f>
        <v>360100</v>
      </c>
      <c r="R169" s="16"/>
      <c r="S169" s="16"/>
      <c r="T169" s="16">
        <f>356028</f>
        <v>356028</v>
      </c>
      <c r="U169" s="16"/>
      <c r="V169" s="16"/>
      <c r="W169" s="16"/>
      <c r="X169" s="16"/>
      <c r="Y169" s="49">
        <f>4072</f>
        <v>4072</v>
      </c>
      <c r="Z169" s="49"/>
    </row>
    <row r="170" spans="1:26" s="1" customFormat="1" ht="24" customHeight="1" x14ac:dyDescent="0.2">
      <c r="A170" s="13" t="s">
        <v>216</v>
      </c>
      <c r="B170" s="13"/>
      <c r="C170" s="13"/>
      <c r="D170" s="13"/>
      <c r="E170" s="13"/>
      <c r="F170" s="13"/>
      <c r="G170" s="13"/>
      <c r="H170" s="13"/>
      <c r="I170" s="14" t="s">
        <v>104</v>
      </c>
      <c r="J170" s="14"/>
      <c r="K170" s="14"/>
      <c r="L170" s="14" t="s">
        <v>217</v>
      </c>
      <c r="M170" s="14"/>
      <c r="N170" s="14"/>
      <c r="O170" s="51" t="s">
        <v>218</v>
      </c>
      <c r="P170" s="51"/>
      <c r="Q170" s="16">
        <f>400000</f>
        <v>400000</v>
      </c>
      <c r="R170" s="16"/>
      <c r="S170" s="16"/>
      <c r="T170" s="16">
        <f>336811.32</f>
        <v>336811.32</v>
      </c>
      <c r="U170" s="16"/>
      <c r="V170" s="16"/>
      <c r="W170" s="16"/>
      <c r="X170" s="16"/>
      <c r="Y170" s="49">
        <f>63188.68</f>
        <v>63188.68</v>
      </c>
      <c r="Z170" s="49"/>
    </row>
    <row r="171" spans="1:26" s="1" customFormat="1" ht="14.1" customHeight="1" x14ac:dyDescent="0.2">
      <c r="A171" s="13" t="s">
        <v>137</v>
      </c>
      <c r="B171" s="13"/>
      <c r="C171" s="13"/>
      <c r="D171" s="13"/>
      <c r="E171" s="13"/>
      <c r="F171" s="13"/>
      <c r="G171" s="13"/>
      <c r="H171" s="13"/>
      <c r="I171" s="14" t="s">
        <v>104</v>
      </c>
      <c r="J171" s="14"/>
      <c r="K171" s="14"/>
      <c r="L171" s="14" t="s">
        <v>219</v>
      </c>
      <c r="M171" s="14"/>
      <c r="N171" s="14"/>
      <c r="O171" s="51" t="s">
        <v>139</v>
      </c>
      <c r="P171" s="51"/>
      <c r="Q171" s="16">
        <f>42570</f>
        <v>42570</v>
      </c>
      <c r="R171" s="16"/>
      <c r="S171" s="16"/>
      <c r="T171" s="16">
        <f>42570</f>
        <v>42570</v>
      </c>
      <c r="U171" s="16"/>
      <c r="V171" s="16"/>
      <c r="W171" s="16"/>
      <c r="X171" s="16"/>
      <c r="Y171" s="49">
        <f>0</f>
        <v>0</v>
      </c>
      <c r="Z171" s="49"/>
    </row>
    <row r="172" spans="1:26" s="1" customFormat="1" ht="14.1" customHeight="1" x14ac:dyDescent="0.2">
      <c r="A172" s="13" t="s">
        <v>126</v>
      </c>
      <c r="B172" s="13"/>
      <c r="C172" s="13"/>
      <c r="D172" s="13"/>
      <c r="E172" s="13"/>
      <c r="F172" s="13"/>
      <c r="G172" s="13"/>
      <c r="H172" s="13"/>
      <c r="I172" s="14" t="s">
        <v>104</v>
      </c>
      <c r="J172" s="14"/>
      <c r="K172" s="14"/>
      <c r="L172" s="14" t="s">
        <v>219</v>
      </c>
      <c r="M172" s="14"/>
      <c r="N172" s="14"/>
      <c r="O172" s="51" t="s">
        <v>128</v>
      </c>
      <c r="P172" s="51"/>
      <c r="Q172" s="16">
        <f>268880</f>
        <v>268880</v>
      </c>
      <c r="R172" s="16"/>
      <c r="S172" s="16"/>
      <c r="T172" s="16">
        <f>266400</f>
        <v>266400</v>
      </c>
      <c r="U172" s="16"/>
      <c r="V172" s="16"/>
      <c r="W172" s="16"/>
      <c r="X172" s="16"/>
      <c r="Y172" s="49">
        <f>2480</f>
        <v>2480</v>
      </c>
      <c r="Z172" s="49"/>
    </row>
    <row r="173" spans="1:26" s="1" customFormat="1" ht="24" customHeight="1" x14ac:dyDescent="0.2">
      <c r="A173" s="13" t="s">
        <v>155</v>
      </c>
      <c r="B173" s="13"/>
      <c r="C173" s="13"/>
      <c r="D173" s="13"/>
      <c r="E173" s="13"/>
      <c r="F173" s="13"/>
      <c r="G173" s="13"/>
      <c r="H173" s="13"/>
      <c r="I173" s="14" t="s">
        <v>104</v>
      </c>
      <c r="J173" s="14"/>
      <c r="K173" s="14"/>
      <c r="L173" s="14" t="s">
        <v>219</v>
      </c>
      <c r="M173" s="14"/>
      <c r="N173" s="14"/>
      <c r="O173" s="51" t="s">
        <v>157</v>
      </c>
      <c r="P173" s="51"/>
      <c r="Q173" s="16">
        <f>98550</f>
        <v>98550</v>
      </c>
      <c r="R173" s="16"/>
      <c r="S173" s="16"/>
      <c r="T173" s="16">
        <f>98550</f>
        <v>98550</v>
      </c>
      <c r="U173" s="16"/>
      <c r="V173" s="16"/>
      <c r="W173" s="16"/>
      <c r="X173" s="16"/>
      <c r="Y173" s="49">
        <f>0</f>
        <v>0</v>
      </c>
      <c r="Z173" s="49"/>
    </row>
    <row r="174" spans="1:26" s="1" customFormat="1" ht="14.1" customHeight="1" x14ac:dyDescent="0.2">
      <c r="A174" s="13" t="s">
        <v>115</v>
      </c>
      <c r="B174" s="13"/>
      <c r="C174" s="13"/>
      <c r="D174" s="13"/>
      <c r="E174" s="13"/>
      <c r="F174" s="13"/>
      <c r="G174" s="13"/>
      <c r="H174" s="13"/>
      <c r="I174" s="14" t="s">
        <v>104</v>
      </c>
      <c r="J174" s="14"/>
      <c r="K174" s="14"/>
      <c r="L174" s="14" t="s">
        <v>220</v>
      </c>
      <c r="M174" s="14"/>
      <c r="N174" s="14"/>
      <c r="O174" s="51" t="s">
        <v>117</v>
      </c>
      <c r="P174" s="51"/>
      <c r="Q174" s="16">
        <f>13400</f>
        <v>13400</v>
      </c>
      <c r="R174" s="16"/>
      <c r="S174" s="16"/>
      <c r="T174" s="16">
        <f>13376</f>
        <v>13376</v>
      </c>
      <c r="U174" s="16"/>
      <c r="V174" s="16"/>
      <c r="W174" s="16"/>
      <c r="X174" s="16"/>
      <c r="Y174" s="49">
        <f>24</f>
        <v>24</v>
      </c>
      <c r="Z174" s="49"/>
    </row>
    <row r="175" spans="1:26" s="1" customFormat="1" ht="24" customHeight="1" x14ac:dyDescent="0.2">
      <c r="A175" s="13" t="s">
        <v>155</v>
      </c>
      <c r="B175" s="13"/>
      <c r="C175" s="13"/>
      <c r="D175" s="13"/>
      <c r="E175" s="13"/>
      <c r="F175" s="13"/>
      <c r="G175" s="13"/>
      <c r="H175" s="13"/>
      <c r="I175" s="14" t="s">
        <v>104</v>
      </c>
      <c r="J175" s="14"/>
      <c r="K175" s="14"/>
      <c r="L175" s="14" t="s">
        <v>220</v>
      </c>
      <c r="M175" s="14"/>
      <c r="N175" s="14"/>
      <c r="O175" s="51" t="s">
        <v>157</v>
      </c>
      <c r="P175" s="51"/>
      <c r="Q175" s="16">
        <f>76600</f>
        <v>76600</v>
      </c>
      <c r="R175" s="16"/>
      <c r="S175" s="16"/>
      <c r="T175" s="16">
        <f>16469</f>
        <v>16469</v>
      </c>
      <c r="U175" s="16"/>
      <c r="V175" s="16"/>
      <c r="W175" s="16"/>
      <c r="X175" s="16"/>
      <c r="Y175" s="49">
        <f>60131</f>
        <v>60131</v>
      </c>
      <c r="Z175" s="49"/>
    </row>
    <row r="176" spans="1:26" s="1" customFormat="1" ht="15" customHeight="1" x14ac:dyDescent="0.2">
      <c r="A176" s="39" t="s">
        <v>221</v>
      </c>
      <c r="B176" s="39"/>
      <c r="C176" s="39"/>
      <c r="D176" s="39"/>
      <c r="E176" s="39"/>
      <c r="F176" s="39"/>
      <c r="G176" s="39"/>
      <c r="H176" s="39"/>
      <c r="I176" s="46" t="s">
        <v>222</v>
      </c>
      <c r="J176" s="46"/>
      <c r="K176" s="46"/>
      <c r="L176" s="46" t="s">
        <v>36</v>
      </c>
      <c r="M176" s="46"/>
      <c r="N176" s="46"/>
      <c r="O176" s="47" t="s">
        <v>36</v>
      </c>
      <c r="P176" s="47"/>
      <c r="Q176" s="48">
        <f>-19886213.65</f>
        <v>-19886213.649999999</v>
      </c>
      <c r="R176" s="48"/>
      <c r="S176" s="48"/>
      <c r="T176" s="48">
        <f>26888382.01</f>
        <v>26888382.010000002</v>
      </c>
      <c r="U176" s="48"/>
      <c r="V176" s="48"/>
      <c r="W176" s="48"/>
      <c r="X176" s="48"/>
      <c r="Y176" s="50" t="s">
        <v>36</v>
      </c>
      <c r="Z176" s="50"/>
    </row>
    <row r="177" spans="1:26" s="1" customFormat="1" ht="14.1" customHeight="1" x14ac:dyDescent="0.2">
      <c r="A177" s="8" t="s">
        <v>10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s="1" customFormat="1" ht="14.1" customHeight="1" x14ac:dyDescent="0.2">
      <c r="A178" s="42" t="s">
        <v>223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s="1" customFormat="1" ht="45.95" customHeight="1" x14ac:dyDescent="0.2">
      <c r="A179" s="43" t="s">
        <v>22</v>
      </c>
      <c r="B179" s="43"/>
      <c r="C179" s="43"/>
      <c r="D179" s="43"/>
      <c r="E179" s="43"/>
      <c r="F179" s="43"/>
      <c r="G179" s="43"/>
      <c r="H179" s="43"/>
      <c r="I179" s="43"/>
      <c r="J179" s="43" t="s">
        <v>23</v>
      </c>
      <c r="K179" s="43"/>
      <c r="L179" s="43"/>
      <c r="M179" s="43" t="s">
        <v>224</v>
      </c>
      <c r="N179" s="43"/>
      <c r="O179" s="43"/>
      <c r="P179" s="44" t="s">
        <v>25</v>
      </c>
      <c r="Q179" s="44"/>
      <c r="R179" s="44"/>
      <c r="S179" s="44" t="s">
        <v>26</v>
      </c>
      <c r="T179" s="44"/>
      <c r="U179" s="44"/>
      <c r="V179" s="44"/>
      <c r="W179" s="44"/>
      <c r="X179" s="45" t="s">
        <v>27</v>
      </c>
      <c r="Y179" s="45"/>
      <c r="Z179" s="45"/>
    </row>
    <row r="180" spans="1:26" s="1" customFormat="1" ht="12.95" customHeight="1" x14ac:dyDescent="0.2">
      <c r="A180" s="40" t="s">
        <v>28</v>
      </c>
      <c r="B180" s="40"/>
      <c r="C180" s="40"/>
      <c r="D180" s="40"/>
      <c r="E180" s="40"/>
      <c r="F180" s="40"/>
      <c r="G180" s="40"/>
      <c r="H180" s="40"/>
      <c r="I180" s="40"/>
      <c r="J180" s="40" t="s">
        <v>29</v>
      </c>
      <c r="K180" s="40"/>
      <c r="L180" s="40"/>
      <c r="M180" s="40" t="s">
        <v>30</v>
      </c>
      <c r="N180" s="40"/>
      <c r="O180" s="40"/>
      <c r="P180" s="41" t="s">
        <v>31</v>
      </c>
      <c r="Q180" s="41"/>
      <c r="R180" s="41"/>
      <c r="S180" s="41" t="s">
        <v>32</v>
      </c>
      <c r="T180" s="41"/>
      <c r="U180" s="41"/>
      <c r="V180" s="41"/>
      <c r="W180" s="41"/>
      <c r="X180" s="33" t="s">
        <v>33</v>
      </c>
      <c r="Y180" s="33"/>
      <c r="Z180" s="33"/>
    </row>
    <row r="181" spans="1:26" s="1" customFormat="1" ht="14.1" customHeight="1" x14ac:dyDescent="0.2">
      <c r="A181" s="34" t="s">
        <v>225</v>
      </c>
      <c r="B181" s="34"/>
      <c r="C181" s="34"/>
      <c r="D181" s="34"/>
      <c r="E181" s="34"/>
      <c r="F181" s="34"/>
      <c r="G181" s="34"/>
      <c r="H181" s="34"/>
      <c r="I181" s="34"/>
      <c r="J181" s="35" t="s">
        <v>226</v>
      </c>
      <c r="K181" s="35"/>
      <c r="L181" s="35"/>
      <c r="M181" s="35" t="s">
        <v>36</v>
      </c>
      <c r="N181" s="35"/>
      <c r="O181" s="35"/>
      <c r="P181" s="36">
        <f>19886213.65</f>
        <v>19886213.649999999</v>
      </c>
      <c r="Q181" s="36"/>
      <c r="R181" s="36"/>
      <c r="S181" s="37">
        <f>-26888382.01</f>
        <v>-26888382.010000002</v>
      </c>
      <c r="T181" s="37"/>
      <c r="U181" s="37"/>
      <c r="V181" s="37"/>
      <c r="W181" s="37"/>
      <c r="X181" s="38" t="s">
        <v>36</v>
      </c>
      <c r="Y181" s="38"/>
      <c r="Z181" s="38"/>
    </row>
    <row r="182" spans="1:26" s="1" customFormat="1" ht="14.1" customHeight="1" x14ac:dyDescent="0.2">
      <c r="A182" s="31" t="s">
        <v>227</v>
      </c>
      <c r="B182" s="31"/>
      <c r="C182" s="31"/>
      <c r="D182" s="31"/>
      <c r="E182" s="31"/>
      <c r="F182" s="31"/>
      <c r="G182" s="31"/>
      <c r="H182" s="31"/>
      <c r="I182" s="31"/>
      <c r="J182" s="22" t="s">
        <v>10</v>
      </c>
      <c r="K182" s="22"/>
      <c r="L182" s="22"/>
      <c r="M182" s="22" t="s">
        <v>10</v>
      </c>
      <c r="N182" s="22"/>
      <c r="O182" s="22"/>
      <c r="P182" s="23" t="s">
        <v>10</v>
      </c>
      <c r="Q182" s="23"/>
      <c r="R182" s="23"/>
      <c r="S182" s="32" t="s">
        <v>10</v>
      </c>
      <c r="T182" s="32"/>
      <c r="U182" s="32"/>
      <c r="V182" s="32"/>
      <c r="W182" s="32"/>
      <c r="X182" s="24" t="s">
        <v>10</v>
      </c>
      <c r="Y182" s="24"/>
      <c r="Z182" s="24"/>
    </row>
    <row r="183" spans="1:26" s="1" customFormat="1" ht="14.1" customHeight="1" x14ac:dyDescent="0.2">
      <c r="A183" s="25" t="s">
        <v>228</v>
      </c>
      <c r="B183" s="25"/>
      <c r="C183" s="25"/>
      <c r="D183" s="25"/>
      <c r="E183" s="25"/>
      <c r="F183" s="25"/>
      <c r="G183" s="25"/>
      <c r="H183" s="25"/>
      <c r="I183" s="25"/>
      <c r="J183" s="26" t="s">
        <v>229</v>
      </c>
      <c r="K183" s="26"/>
      <c r="L183" s="26"/>
      <c r="M183" s="27" t="s">
        <v>36</v>
      </c>
      <c r="N183" s="27"/>
      <c r="O183" s="27"/>
      <c r="P183" s="28" t="s">
        <v>39</v>
      </c>
      <c r="Q183" s="28"/>
      <c r="R183" s="28"/>
      <c r="S183" s="29" t="s">
        <v>39</v>
      </c>
      <c r="T183" s="29"/>
      <c r="U183" s="29"/>
      <c r="V183" s="29"/>
      <c r="W183" s="29"/>
      <c r="X183" s="30" t="s">
        <v>39</v>
      </c>
      <c r="Y183" s="30"/>
      <c r="Z183" s="30"/>
    </row>
    <row r="184" spans="1:26" s="1" customFormat="1" ht="14.1" customHeight="1" x14ac:dyDescent="0.2">
      <c r="A184" s="13" t="s">
        <v>10</v>
      </c>
      <c r="B184" s="13"/>
      <c r="C184" s="13"/>
      <c r="D184" s="13"/>
      <c r="E184" s="13"/>
      <c r="F184" s="13"/>
      <c r="G184" s="13"/>
      <c r="H184" s="13"/>
      <c r="I184" s="13"/>
      <c r="J184" s="14" t="s">
        <v>229</v>
      </c>
      <c r="K184" s="14"/>
      <c r="L184" s="14"/>
      <c r="M184" s="14" t="s">
        <v>10</v>
      </c>
      <c r="N184" s="14"/>
      <c r="O184" s="14"/>
      <c r="P184" s="19" t="s">
        <v>39</v>
      </c>
      <c r="Q184" s="19"/>
      <c r="R184" s="19"/>
      <c r="S184" s="20" t="s">
        <v>39</v>
      </c>
      <c r="T184" s="20"/>
      <c r="U184" s="20"/>
      <c r="V184" s="20"/>
      <c r="W184" s="20"/>
      <c r="X184" s="21" t="s">
        <v>39</v>
      </c>
      <c r="Y184" s="21"/>
      <c r="Z184" s="21"/>
    </row>
    <row r="185" spans="1:26" s="1" customFormat="1" ht="14.1" customHeight="1" x14ac:dyDescent="0.2">
      <c r="A185" s="13" t="s">
        <v>230</v>
      </c>
      <c r="B185" s="13"/>
      <c r="C185" s="13"/>
      <c r="D185" s="13"/>
      <c r="E185" s="13"/>
      <c r="F185" s="13"/>
      <c r="G185" s="13"/>
      <c r="H185" s="13"/>
      <c r="I185" s="13"/>
      <c r="J185" s="22" t="s">
        <v>231</v>
      </c>
      <c r="K185" s="22"/>
      <c r="L185" s="22"/>
      <c r="M185" s="22" t="s">
        <v>36</v>
      </c>
      <c r="N185" s="22"/>
      <c r="O185" s="22"/>
      <c r="P185" s="23" t="s">
        <v>39</v>
      </c>
      <c r="Q185" s="23"/>
      <c r="R185" s="23"/>
      <c r="S185" s="20" t="s">
        <v>39</v>
      </c>
      <c r="T185" s="20"/>
      <c r="U185" s="20"/>
      <c r="V185" s="20"/>
      <c r="W185" s="20"/>
      <c r="X185" s="24" t="s">
        <v>39</v>
      </c>
      <c r="Y185" s="24"/>
      <c r="Z185" s="24"/>
    </row>
    <row r="186" spans="1:26" s="1" customFormat="1" ht="14.1" customHeight="1" x14ac:dyDescent="0.2">
      <c r="A186" s="13" t="s">
        <v>10</v>
      </c>
      <c r="B186" s="13"/>
      <c r="C186" s="13"/>
      <c r="D186" s="13"/>
      <c r="E186" s="13"/>
      <c r="F186" s="13"/>
      <c r="G186" s="13"/>
      <c r="H186" s="13"/>
      <c r="I186" s="13"/>
      <c r="J186" s="14" t="s">
        <v>231</v>
      </c>
      <c r="K186" s="14"/>
      <c r="L186" s="14"/>
      <c r="M186" s="14" t="s">
        <v>10</v>
      </c>
      <c r="N186" s="14"/>
      <c r="O186" s="14"/>
      <c r="P186" s="19" t="s">
        <v>39</v>
      </c>
      <c r="Q186" s="19"/>
      <c r="R186" s="19"/>
      <c r="S186" s="20" t="s">
        <v>39</v>
      </c>
      <c r="T186" s="20"/>
      <c r="U186" s="20"/>
      <c r="V186" s="20"/>
      <c r="W186" s="20"/>
      <c r="X186" s="21" t="s">
        <v>39</v>
      </c>
      <c r="Y186" s="21"/>
      <c r="Z186" s="21"/>
    </row>
    <row r="187" spans="1:26" s="1" customFormat="1" ht="14.1" customHeight="1" x14ac:dyDescent="0.2">
      <c r="A187" s="13" t="s">
        <v>232</v>
      </c>
      <c r="B187" s="13"/>
      <c r="C187" s="13"/>
      <c r="D187" s="13"/>
      <c r="E187" s="13"/>
      <c r="F187" s="13"/>
      <c r="G187" s="13"/>
      <c r="H187" s="13"/>
      <c r="I187" s="13"/>
      <c r="J187" s="14" t="s">
        <v>233</v>
      </c>
      <c r="K187" s="14"/>
      <c r="L187" s="14"/>
      <c r="M187" s="14" t="s">
        <v>234</v>
      </c>
      <c r="N187" s="14"/>
      <c r="O187" s="14"/>
      <c r="P187" s="15">
        <f>19886213.65</f>
        <v>19886213.649999999</v>
      </c>
      <c r="Q187" s="15"/>
      <c r="R187" s="15"/>
      <c r="S187" s="16">
        <f>-26888382.01</f>
        <v>-26888382.010000002</v>
      </c>
      <c r="T187" s="16"/>
      <c r="U187" s="16"/>
      <c r="V187" s="16"/>
      <c r="W187" s="16"/>
      <c r="X187" s="18">
        <f>46774595.66</f>
        <v>46774595.659999996</v>
      </c>
      <c r="Y187" s="18"/>
      <c r="Z187" s="18"/>
    </row>
    <row r="188" spans="1:26" s="1" customFormat="1" ht="14.1" customHeight="1" x14ac:dyDescent="0.2">
      <c r="A188" s="13" t="s">
        <v>235</v>
      </c>
      <c r="B188" s="13"/>
      <c r="C188" s="13"/>
      <c r="D188" s="13"/>
      <c r="E188" s="13"/>
      <c r="F188" s="13"/>
      <c r="G188" s="13"/>
      <c r="H188" s="13"/>
      <c r="I188" s="13"/>
      <c r="J188" s="14" t="s">
        <v>236</v>
      </c>
      <c r="K188" s="14"/>
      <c r="L188" s="14"/>
      <c r="M188" s="14" t="s">
        <v>237</v>
      </c>
      <c r="N188" s="14"/>
      <c r="O188" s="14"/>
      <c r="P188" s="15">
        <f>-153703695.54</f>
        <v>-153703695.53999999</v>
      </c>
      <c r="Q188" s="15"/>
      <c r="R188" s="15"/>
      <c r="S188" s="16">
        <f>-106879554.52</f>
        <v>-106879554.52</v>
      </c>
      <c r="T188" s="16"/>
      <c r="U188" s="16"/>
      <c r="V188" s="16"/>
      <c r="W188" s="16"/>
      <c r="X188" s="17" t="s">
        <v>36</v>
      </c>
      <c r="Y188" s="17"/>
      <c r="Z188" s="17"/>
    </row>
    <row r="189" spans="1:26" s="1" customFormat="1" ht="14.1" customHeight="1" x14ac:dyDescent="0.2">
      <c r="A189" s="13" t="s">
        <v>238</v>
      </c>
      <c r="B189" s="13"/>
      <c r="C189" s="13"/>
      <c r="D189" s="13"/>
      <c r="E189" s="13"/>
      <c r="F189" s="13"/>
      <c r="G189" s="13"/>
      <c r="H189" s="13"/>
      <c r="I189" s="13"/>
      <c r="J189" s="14" t="s">
        <v>239</v>
      </c>
      <c r="K189" s="14"/>
      <c r="L189" s="14"/>
      <c r="M189" s="14" t="s">
        <v>240</v>
      </c>
      <c r="N189" s="14"/>
      <c r="O189" s="14"/>
      <c r="P189" s="15">
        <f>173589909.19</f>
        <v>173589909.19</v>
      </c>
      <c r="Q189" s="15"/>
      <c r="R189" s="15"/>
      <c r="S189" s="16">
        <f>79991172.51</f>
        <v>79991172.510000005</v>
      </c>
      <c r="T189" s="16"/>
      <c r="U189" s="16"/>
      <c r="V189" s="16"/>
      <c r="W189" s="16"/>
      <c r="X189" s="17" t="s">
        <v>36</v>
      </c>
      <c r="Y189" s="17"/>
      <c r="Z189" s="17"/>
    </row>
    <row r="190" spans="1:26" s="1" customFormat="1" ht="14.1" customHeight="1" x14ac:dyDescent="0.2">
      <c r="A190" s="12" t="s">
        <v>10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s="1" customFormat="1" ht="14.1" customHeight="1" x14ac:dyDescent="0.2">
      <c r="A191" s="8" t="s">
        <v>10</v>
      </c>
      <c r="B191" s="8"/>
      <c r="C191" s="8"/>
      <c r="D191" s="8"/>
      <c r="E191" s="8"/>
      <c r="F191" s="10" t="s">
        <v>10</v>
      </c>
      <c r="G191" s="10"/>
      <c r="H191" s="10"/>
      <c r="I191" s="10"/>
      <c r="J191" s="10"/>
      <c r="K191" s="10"/>
      <c r="L191" s="10"/>
      <c r="M191" s="10" t="s">
        <v>243</v>
      </c>
      <c r="N191" s="10"/>
      <c r="O191" s="10"/>
      <c r="P191" s="10"/>
      <c r="Q191" s="10"/>
      <c r="R191" s="8" t="s">
        <v>10</v>
      </c>
      <c r="S191" s="8"/>
      <c r="T191" s="8"/>
      <c r="U191" s="8"/>
      <c r="V191" s="8"/>
      <c r="W191" s="8"/>
      <c r="X191" s="8"/>
      <c r="Y191" s="8"/>
      <c r="Z191" s="8"/>
    </row>
    <row r="192" spans="1:26" s="1" customFormat="1" ht="14.1" customHeight="1" x14ac:dyDescent="0.2">
      <c r="A192" s="8" t="s">
        <v>10</v>
      </c>
      <c r="B192" s="8"/>
      <c r="C192" s="8"/>
      <c r="D192" s="8"/>
      <c r="E192" s="8"/>
      <c r="F192" s="5" t="s">
        <v>10</v>
      </c>
      <c r="G192" s="11" t="s">
        <v>241</v>
      </c>
      <c r="H192" s="11"/>
      <c r="I192" s="11"/>
      <c r="J192" s="11"/>
      <c r="K192" s="8" t="s">
        <v>10</v>
      </c>
      <c r="L192" s="8"/>
      <c r="M192" s="5" t="s">
        <v>10</v>
      </c>
      <c r="N192" s="11" t="s">
        <v>242</v>
      </c>
      <c r="O192" s="11"/>
      <c r="P192" s="11"/>
      <c r="Q192" s="8" t="s">
        <v>10</v>
      </c>
      <c r="R192" s="8"/>
      <c r="S192" s="8"/>
      <c r="T192" s="8"/>
      <c r="U192" s="8"/>
      <c r="V192" s="8"/>
      <c r="W192" s="8"/>
      <c r="X192" s="8"/>
      <c r="Y192" s="8"/>
      <c r="Z192" s="8"/>
    </row>
    <row r="193" spans="1:26" s="1" customFormat="1" ht="8.1" customHeight="1" x14ac:dyDescent="0.2">
      <c r="A193" s="8" t="s">
        <v>10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s="1" customFormat="1" ht="14.1" customHeight="1" x14ac:dyDescent="0.2">
      <c r="A194" s="8" t="s">
        <v>10</v>
      </c>
      <c r="B194" s="8"/>
      <c r="C194" s="8"/>
      <c r="D194" s="8"/>
      <c r="E194" s="8"/>
      <c r="F194" s="10" t="s">
        <v>10</v>
      </c>
      <c r="G194" s="10"/>
      <c r="H194" s="10"/>
      <c r="I194" s="10"/>
      <c r="J194" s="10"/>
      <c r="K194" s="10"/>
      <c r="L194" s="10"/>
      <c r="M194" s="10" t="s">
        <v>244</v>
      </c>
      <c r="N194" s="10"/>
      <c r="O194" s="10"/>
      <c r="P194" s="10"/>
      <c r="Q194" s="10"/>
      <c r="R194" s="8" t="s">
        <v>10</v>
      </c>
      <c r="S194" s="8"/>
      <c r="T194" s="8"/>
      <c r="U194" s="8"/>
      <c r="V194" s="8"/>
      <c r="W194" s="8"/>
      <c r="X194" s="8"/>
      <c r="Y194" s="8"/>
      <c r="Z194" s="8"/>
    </row>
    <row r="195" spans="1:26" s="1" customFormat="1" ht="14.1" customHeight="1" x14ac:dyDescent="0.2">
      <c r="A195" s="8" t="s">
        <v>10</v>
      </c>
      <c r="B195" s="8"/>
      <c r="C195" s="8"/>
      <c r="D195" s="8"/>
      <c r="E195" s="8"/>
      <c r="F195" s="5" t="s">
        <v>10</v>
      </c>
      <c r="G195" s="11" t="s">
        <v>241</v>
      </c>
      <c r="H195" s="11"/>
      <c r="I195" s="11"/>
      <c r="J195" s="11"/>
      <c r="K195" s="8" t="s">
        <v>10</v>
      </c>
      <c r="L195" s="8"/>
      <c r="M195" s="5" t="s">
        <v>10</v>
      </c>
      <c r="N195" s="11" t="s">
        <v>242</v>
      </c>
      <c r="O195" s="11"/>
      <c r="P195" s="11"/>
      <c r="Q195" s="8" t="s">
        <v>10</v>
      </c>
      <c r="R195" s="8"/>
      <c r="S195" s="8"/>
      <c r="T195" s="8"/>
      <c r="U195" s="8"/>
      <c r="V195" s="8"/>
      <c r="W195" s="8"/>
      <c r="X195" s="8"/>
      <c r="Y195" s="8"/>
      <c r="Z195" s="8"/>
    </row>
    <row r="196" spans="1:26" s="1" customFormat="1" ht="15.95" customHeight="1" x14ac:dyDescent="0.2">
      <c r="A196" s="8" t="s">
        <v>10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s="1" customFormat="1" ht="14.1" customHeight="1" x14ac:dyDescent="0.2">
      <c r="A197" s="9" t="s">
        <v>245</v>
      </c>
      <c r="B197" s="9"/>
      <c r="C197" s="9"/>
      <c r="D197" s="9"/>
      <c r="E197" s="9"/>
      <c r="F197" s="9"/>
      <c r="G197" s="9"/>
      <c r="H197" s="8" t="s">
        <v>10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</sheetData>
  <mergeCells count="1229">
    <mergeCell ref="A1:Y1"/>
    <mergeCell ref="A2:Y2"/>
    <mergeCell ref="A3:V3"/>
    <mergeCell ref="W3:Y3"/>
    <mergeCell ref="A4:C5"/>
    <mergeCell ref="D4:U5"/>
    <mergeCell ref="V4:Y4"/>
    <mergeCell ref="V5:Y5"/>
    <mergeCell ref="A6:D6"/>
    <mergeCell ref="E6:U6"/>
    <mergeCell ref="V6:Y6"/>
    <mergeCell ref="B7:Y7"/>
    <mergeCell ref="A8:B8"/>
    <mergeCell ref="C8:T8"/>
    <mergeCell ref="U8:Y8"/>
    <mergeCell ref="A9:Z9"/>
    <mergeCell ref="A10:I10"/>
    <mergeCell ref="J10:L10"/>
    <mergeCell ref="M10:O10"/>
    <mergeCell ref="P10:R10"/>
    <mergeCell ref="S10:W10"/>
    <mergeCell ref="X10:Z10"/>
    <mergeCell ref="A11:I11"/>
    <mergeCell ref="J11:L11"/>
    <mergeCell ref="M11:O11"/>
    <mergeCell ref="P11:R11"/>
    <mergeCell ref="S11:W11"/>
    <mergeCell ref="X11:Z11"/>
    <mergeCell ref="A12:I12"/>
    <mergeCell ref="J12:L12"/>
    <mergeCell ref="M12:O12"/>
    <mergeCell ref="P12:R12"/>
    <mergeCell ref="S12:W12"/>
    <mergeCell ref="X12:Z12"/>
    <mergeCell ref="A13:I13"/>
    <mergeCell ref="J13:L13"/>
    <mergeCell ref="M13:O13"/>
    <mergeCell ref="P13:R13"/>
    <mergeCell ref="S13:W13"/>
    <mergeCell ref="X13:Z13"/>
    <mergeCell ref="A14:I14"/>
    <mergeCell ref="J14:L14"/>
    <mergeCell ref="M14:O14"/>
    <mergeCell ref="P14:R14"/>
    <mergeCell ref="S14:W14"/>
    <mergeCell ref="X14:Z14"/>
    <mergeCell ref="A15:I15"/>
    <mergeCell ref="J15:L15"/>
    <mergeCell ref="M15:O15"/>
    <mergeCell ref="P15:R15"/>
    <mergeCell ref="S15:W15"/>
    <mergeCell ref="X15:Z15"/>
    <mergeCell ref="A16:I16"/>
    <mergeCell ref="J16:L16"/>
    <mergeCell ref="M16:O16"/>
    <mergeCell ref="P16:R16"/>
    <mergeCell ref="S16:W16"/>
    <mergeCell ref="X16:Z16"/>
    <mergeCell ref="A17:I17"/>
    <mergeCell ref="J17:L17"/>
    <mergeCell ref="M17:O17"/>
    <mergeCell ref="P17:R17"/>
    <mergeCell ref="S17:W17"/>
    <mergeCell ref="X17:Z17"/>
    <mergeCell ref="A18:I18"/>
    <mergeCell ref="J18:L18"/>
    <mergeCell ref="M18:O18"/>
    <mergeCell ref="P18:R18"/>
    <mergeCell ref="S18:W18"/>
    <mergeCell ref="X18:Z18"/>
    <mergeCell ref="A19:I19"/>
    <mergeCell ref="J19:L19"/>
    <mergeCell ref="M19:O19"/>
    <mergeCell ref="P19:R19"/>
    <mergeCell ref="S19:W19"/>
    <mergeCell ref="X19:Z19"/>
    <mergeCell ref="A20:I20"/>
    <mergeCell ref="J20:L20"/>
    <mergeCell ref="M20:O20"/>
    <mergeCell ref="P20:R20"/>
    <mergeCell ref="S20:W20"/>
    <mergeCell ref="X20:Z20"/>
    <mergeCell ref="A21:I21"/>
    <mergeCell ref="J21:L21"/>
    <mergeCell ref="M21:O21"/>
    <mergeCell ref="P21:R21"/>
    <mergeCell ref="S21:W21"/>
    <mergeCell ref="X21:Z21"/>
    <mergeCell ref="A22:I22"/>
    <mergeCell ref="J22:L22"/>
    <mergeCell ref="M22:O22"/>
    <mergeCell ref="P22:R22"/>
    <mergeCell ref="S22:W22"/>
    <mergeCell ref="X22:Z22"/>
    <mergeCell ref="A23:I23"/>
    <mergeCell ref="J23:L23"/>
    <mergeCell ref="M23:O23"/>
    <mergeCell ref="P23:R23"/>
    <mergeCell ref="S23:W23"/>
    <mergeCell ref="X23:Z23"/>
    <mergeCell ref="A24:I24"/>
    <mergeCell ref="J24:L24"/>
    <mergeCell ref="M24:O24"/>
    <mergeCell ref="P24:R24"/>
    <mergeCell ref="S24:W24"/>
    <mergeCell ref="X24:Z24"/>
    <mergeCell ref="A25:I25"/>
    <mergeCell ref="J25:L25"/>
    <mergeCell ref="M25:O25"/>
    <mergeCell ref="P25:R25"/>
    <mergeCell ref="S25:W25"/>
    <mergeCell ref="X25:Z25"/>
    <mergeCell ref="A26:I26"/>
    <mergeCell ref="J26:L26"/>
    <mergeCell ref="M26:O26"/>
    <mergeCell ref="P26:R26"/>
    <mergeCell ref="S26:W26"/>
    <mergeCell ref="X26:Z26"/>
    <mergeCell ref="A27:I27"/>
    <mergeCell ref="J27:L27"/>
    <mergeCell ref="M27:O27"/>
    <mergeCell ref="P27:R27"/>
    <mergeCell ref="S27:W27"/>
    <mergeCell ref="X27:Z27"/>
    <mergeCell ref="A28:I28"/>
    <mergeCell ref="J28:L28"/>
    <mergeCell ref="M28:O28"/>
    <mergeCell ref="P28:R28"/>
    <mergeCell ref="S28:W28"/>
    <mergeCell ref="X28:Z28"/>
    <mergeCell ref="A29:I29"/>
    <mergeCell ref="J29:L29"/>
    <mergeCell ref="M29:O29"/>
    <mergeCell ref="P29:R29"/>
    <mergeCell ref="S29:W29"/>
    <mergeCell ref="X29:Z29"/>
    <mergeCell ref="A30:I30"/>
    <mergeCell ref="J30:L30"/>
    <mergeCell ref="M30:O30"/>
    <mergeCell ref="P30:R30"/>
    <mergeCell ref="S30:W30"/>
    <mergeCell ref="X30:Z30"/>
    <mergeCell ref="A31:I31"/>
    <mergeCell ref="J31:L31"/>
    <mergeCell ref="M31:O31"/>
    <mergeCell ref="P31:R31"/>
    <mergeCell ref="S31:W31"/>
    <mergeCell ref="X31:Z31"/>
    <mergeCell ref="A32:I32"/>
    <mergeCell ref="J32:L32"/>
    <mergeCell ref="M32:O32"/>
    <mergeCell ref="P32:R32"/>
    <mergeCell ref="S32:W32"/>
    <mergeCell ref="X32:Z32"/>
    <mergeCell ref="A33:I33"/>
    <mergeCell ref="J33:L33"/>
    <mergeCell ref="M33:O33"/>
    <mergeCell ref="P33:R33"/>
    <mergeCell ref="S33:W33"/>
    <mergeCell ref="X33:Z33"/>
    <mergeCell ref="A34:I34"/>
    <mergeCell ref="J34:L34"/>
    <mergeCell ref="M34:O34"/>
    <mergeCell ref="P34:R34"/>
    <mergeCell ref="S34:W34"/>
    <mergeCell ref="X34:Z34"/>
    <mergeCell ref="A35:I35"/>
    <mergeCell ref="J35:L35"/>
    <mergeCell ref="M35:O35"/>
    <mergeCell ref="P35:R35"/>
    <mergeCell ref="S35:W35"/>
    <mergeCell ref="X35:Z35"/>
    <mergeCell ref="A36:I36"/>
    <mergeCell ref="J36:L36"/>
    <mergeCell ref="M36:O36"/>
    <mergeCell ref="P36:R36"/>
    <mergeCell ref="S36:W36"/>
    <mergeCell ref="X36:Z36"/>
    <mergeCell ref="A37:I37"/>
    <mergeCell ref="J37:L37"/>
    <mergeCell ref="M37:O37"/>
    <mergeCell ref="P37:R37"/>
    <mergeCell ref="S37:W37"/>
    <mergeCell ref="X37:Z37"/>
    <mergeCell ref="A38:I38"/>
    <mergeCell ref="J38:L38"/>
    <mergeCell ref="M38:O38"/>
    <mergeCell ref="P38:R38"/>
    <mergeCell ref="S38:W38"/>
    <mergeCell ref="X38:Z38"/>
    <mergeCell ref="A39:I39"/>
    <mergeCell ref="J39:L39"/>
    <mergeCell ref="M39:O39"/>
    <mergeCell ref="P39:R39"/>
    <mergeCell ref="S39:W39"/>
    <mergeCell ref="X39:Z39"/>
    <mergeCell ref="A40:I40"/>
    <mergeCell ref="J40:L40"/>
    <mergeCell ref="M40:O40"/>
    <mergeCell ref="P40:R40"/>
    <mergeCell ref="S40:W40"/>
    <mergeCell ref="X40:Z40"/>
    <mergeCell ref="A41:I41"/>
    <mergeCell ref="J41:L41"/>
    <mergeCell ref="M41:O41"/>
    <mergeCell ref="P41:R41"/>
    <mergeCell ref="S41:W41"/>
    <mergeCell ref="X41:Z41"/>
    <mergeCell ref="A42:I42"/>
    <mergeCell ref="J42:L42"/>
    <mergeCell ref="M42:O42"/>
    <mergeCell ref="P42:R42"/>
    <mergeCell ref="S42:W42"/>
    <mergeCell ref="X42:Z42"/>
    <mergeCell ref="A43:I43"/>
    <mergeCell ref="J43:L43"/>
    <mergeCell ref="M43:O43"/>
    <mergeCell ref="P43:R43"/>
    <mergeCell ref="S43:W43"/>
    <mergeCell ref="X43:Z43"/>
    <mergeCell ref="A44:I44"/>
    <mergeCell ref="J44:L44"/>
    <mergeCell ref="M44:O44"/>
    <mergeCell ref="P44:R44"/>
    <mergeCell ref="S44:W44"/>
    <mergeCell ref="X44:Z44"/>
    <mergeCell ref="A45:Z45"/>
    <mergeCell ref="A46:Z46"/>
    <mergeCell ref="A47:H47"/>
    <mergeCell ref="I47:K47"/>
    <mergeCell ref="L47:N47"/>
    <mergeCell ref="O47:P47"/>
    <mergeCell ref="Q47:S47"/>
    <mergeCell ref="T47:X47"/>
    <mergeCell ref="Y47:Z47"/>
    <mergeCell ref="T49:X49"/>
    <mergeCell ref="Y49:Z49"/>
    <mergeCell ref="A48:H48"/>
    <mergeCell ref="I48:K48"/>
    <mergeCell ref="L48:N48"/>
    <mergeCell ref="O48:P48"/>
    <mergeCell ref="Q48:S48"/>
    <mergeCell ref="T48:X48"/>
    <mergeCell ref="L50:N50"/>
    <mergeCell ref="O50:P50"/>
    <mergeCell ref="Q50:S50"/>
    <mergeCell ref="T50:X50"/>
    <mergeCell ref="Y48:Z48"/>
    <mergeCell ref="A49:H49"/>
    <mergeCell ref="I49:K49"/>
    <mergeCell ref="L49:N49"/>
    <mergeCell ref="O49:P49"/>
    <mergeCell ref="Q49:S49"/>
    <mergeCell ref="Y50:Z50"/>
    <mergeCell ref="A51:H51"/>
    <mergeCell ref="I51:K51"/>
    <mergeCell ref="L51:N51"/>
    <mergeCell ref="O51:P51"/>
    <mergeCell ref="Q51:S51"/>
    <mergeCell ref="T51:X51"/>
    <mergeCell ref="Y51:Z51"/>
    <mergeCell ref="A50:H50"/>
    <mergeCell ref="I50:K50"/>
    <mergeCell ref="T53:X53"/>
    <mergeCell ref="Y53:Z53"/>
    <mergeCell ref="A52:H52"/>
    <mergeCell ref="I52:K52"/>
    <mergeCell ref="L52:N52"/>
    <mergeCell ref="O52:P52"/>
    <mergeCell ref="Q52:S52"/>
    <mergeCell ref="T52:X52"/>
    <mergeCell ref="L54:N54"/>
    <mergeCell ref="O54:P54"/>
    <mergeCell ref="Q54:S54"/>
    <mergeCell ref="T54:X54"/>
    <mergeCell ref="Y52:Z52"/>
    <mergeCell ref="A53:H53"/>
    <mergeCell ref="I53:K53"/>
    <mergeCell ref="L53:N53"/>
    <mergeCell ref="O53:P53"/>
    <mergeCell ref="Q53:S53"/>
    <mergeCell ref="Y54:Z54"/>
    <mergeCell ref="A55:H55"/>
    <mergeCell ref="I55:K55"/>
    <mergeCell ref="L55:N55"/>
    <mergeCell ref="O55:P55"/>
    <mergeCell ref="Q55:S55"/>
    <mergeCell ref="T55:X55"/>
    <mergeCell ref="Y55:Z55"/>
    <mergeCell ref="A54:H54"/>
    <mergeCell ref="I54:K54"/>
    <mergeCell ref="T57:X57"/>
    <mergeCell ref="Y57:Z57"/>
    <mergeCell ref="A56:H56"/>
    <mergeCell ref="I56:K56"/>
    <mergeCell ref="L56:N56"/>
    <mergeCell ref="O56:P56"/>
    <mergeCell ref="Q56:S56"/>
    <mergeCell ref="T56:X56"/>
    <mergeCell ref="L58:N58"/>
    <mergeCell ref="O58:P58"/>
    <mergeCell ref="Q58:S58"/>
    <mergeCell ref="T58:X58"/>
    <mergeCell ref="Y56:Z56"/>
    <mergeCell ref="A57:H57"/>
    <mergeCell ref="I57:K57"/>
    <mergeCell ref="L57:N57"/>
    <mergeCell ref="O57:P57"/>
    <mergeCell ref="Q57:S57"/>
    <mergeCell ref="Y58:Z58"/>
    <mergeCell ref="A59:H59"/>
    <mergeCell ref="I59:K59"/>
    <mergeCell ref="L59:N59"/>
    <mergeCell ref="O59:P59"/>
    <mergeCell ref="Q59:S59"/>
    <mergeCell ref="T59:X59"/>
    <mergeCell ref="Y59:Z59"/>
    <mergeCell ref="A58:H58"/>
    <mergeCell ref="I58:K58"/>
    <mergeCell ref="T61:X61"/>
    <mergeCell ref="Y61:Z61"/>
    <mergeCell ref="A60:H60"/>
    <mergeCell ref="I60:K60"/>
    <mergeCell ref="L60:N60"/>
    <mergeCell ref="O60:P60"/>
    <mergeCell ref="Q60:S60"/>
    <mergeCell ref="T60:X60"/>
    <mergeCell ref="L62:N62"/>
    <mergeCell ref="O62:P62"/>
    <mergeCell ref="Q62:S62"/>
    <mergeCell ref="T62:X62"/>
    <mergeCell ref="Y60:Z60"/>
    <mergeCell ref="A61:H61"/>
    <mergeCell ref="I61:K61"/>
    <mergeCell ref="L61:N61"/>
    <mergeCell ref="O61:P61"/>
    <mergeCell ref="Q61:S61"/>
    <mergeCell ref="Y62:Z62"/>
    <mergeCell ref="A63:H63"/>
    <mergeCell ref="I63:K63"/>
    <mergeCell ref="L63:N63"/>
    <mergeCell ref="O63:P63"/>
    <mergeCell ref="Q63:S63"/>
    <mergeCell ref="T63:X63"/>
    <mergeCell ref="Y63:Z63"/>
    <mergeCell ref="A62:H62"/>
    <mergeCell ref="I62:K62"/>
    <mergeCell ref="T65:X65"/>
    <mergeCell ref="Y65:Z65"/>
    <mergeCell ref="A64:H64"/>
    <mergeCell ref="I64:K64"/>
    <mergeCell ref="L64:N64"/>
    <mergeCell ref="O64:P64"/>
    <mergeCell ref="Q64:S64"/>
    <mergeCell ref="T64:X64"/>
    <mergeCell ref="L66:N66"/>
    <mergeCell ref="O66:P66"/>
    <mergeCell ref="Q66:S66"/>
    <mergeCell ref="T66:X66"/>
    <mergeCell ref="Y64:Z64"/>
    <mergeCell ref="A65:H65"/>
    <mergeCell ref="I65:K65"/>
    <mergeCell ref="L65:N65"/>
    <mergeCell ref="O65:P65"/>
    <mergeCell ref="Q65:S65"/>
    <mergeCell ref="Y66:Z66"/>
    <mergeCell ref="A67:H67"/>
    <mergeCell ref="I67:K67"/>
    <mergeCell ref="L67:N67"/>
    <mergeCell ref="O67:P67"/>
    <mergeCell ref="Q67:S67"/>
    <mergeCell ref="T67:X67"/>
    <mergeCell ref="Y67:Z67"/>
    <mergeCell ref="A66:H66"/>
    <mergeCell ref="I66:K66"/>
    <mergeCell ref="T69:X69"/>
    <mergeCell ref="Y69:Z69"/>
    <mergeCell ref="A68:H68"/>
    <mergeCell ref="I68:K68"/>
    <mergeCell ref="L68:N68"/>
    <mergeCell ref="O68:P68"/>
    <mergeCell ref="Q68:S68"/>
    <mergeCell ref="T68:X68"/>
    <mergeCell ref="L70:N70"/>
    <mergeCell ref="O70:P70"/>
    <mergeCell ref="Q70:S70"/>
    <mergeCell ref="T70:X70"/>
    <mergeCell ref="Y68:Z68"/>
    <mergeCell ref="A69:H69"/>
    <mergeCell ref="I69:K69"/>
    <mergeCell ref="L69:N69"/>
    <mergeCell ref="O69:P69"/>
    <mergeCell ref="Q69:S69"/>
    <mergeCell ref="Y70:Z70"/>
    <mergeCell ref="A71:H71"/>
    <mergeCell ref="I71:K71"/>
    <mergeCell ref="L71:N71"/>
    <mergeCell ref="O71:P71"/>
    <mergeCell ref="Q71:S71"/>
    <mergeCell ref="T71:X71"/>
    <mergeCell ref="Y71:Z71"/>
    <mergeCell ref="A70:H70"/>
    <mergeCell ref="I70:K70"/>
    <mergeCell ref="T73:X73"/>
    <mergeCell ref="Y73:Z73"/>
    <mergeCell ref="A72:H72"/>
    <mergeCell ref="I72:K72"/>
    <mergeCell ref="L72:N72"/>
    <mergeCell ref="O72:P72"/>
    <mergeCell ref="Q72:S72"/>
    <mergeCell ref="T72:X72"/>
    <mergeCell ref="L74:N74"/>
    <mergeCell ref="O74:P74"/>
    <mergeCell ref="Q74:S74"/>
    <mergeCell ref="T74:X74"/>
    <mergeCell ref="Y72:Z72"/>
    <mergeCell ref="A73:H73"/>
    <mergeCell ref="I73:K73"/>
    <mergeCell ref="L73:N73"/>
    <mergeCell ref="O73:P73"/>
    <mergeCell ref="Q73:S73"/>
    <mergeCell ref="Y74:Z74"/>
    <mergeCell ref="A75:H75"/>
    <mergeCell ref="I75:K75"/>
    <mergeCell ref="L75:N75"/>
    <mergeCell ref="O75:P75"/>
    <mergeCell ref="Q75:S75"/>
    <mergeCell ref="T75:X75"/>
    <mergeCell ref="Y75:Z75"/>
    <mergeCell ref="A74:H74"/>
    <mergeCell ref="I74:K74"/>
    <mergeCell ref="T77:X77"/>
    <mergeCell ref="Y77:Z77"/>
    <mergeCell ref="A76:H76"/>
    <mergeCell ref="I76:K76"/>
    <mergeCell ref="L76:N76"/>
    <mergeCell ref="O76:P76"/>
    <mergeCell ref="Q76:S76"/>
    <mergeCell ref="T76:X76"/>
    <mergeCell ref="L78:N78"/>
    <mergeCell ref="O78:P78"/>
    <mergeCell ref="Q78:S78"/>
    <mergeCell ref="T78:X78"/>
    <mergeCell ref="Y76:Z76"/>
    <mergeCell ref="A77:H77"/>
    <mergeCell ref="I77:K77"/>
    <mergeCell ref="L77:N77"/>
    <mergeCell ref="O77:P77"/>
    <mergeCell ref="Q77:S77"/>
    <mergeCell ref="Y78:Z78"/>
    <mergeCell ref="A79:H79"/>
    <mergeCell ref="I79:K79"/>
    <mergeCell ref="L79:N79"/>
    <mergeCell ref="O79:P79"/>
    <mergeCell ref="Q79:S79"/>
    <mergeCell ref="T79:X79"/>
    <mergeCell ref="Y79:Z79"/>
    <mergeCell ref="A78:H78"/>
    <mergeCell ref="I78:K78"/>
    <mergeCell ref="T81:X81"/>
    <mergeCell ref="Y81:Z81"/>
    <mergeCell ref="A80:H80"/>
    <mergeCell ref="I80:K80"/>
    <mergeCell ref="L80:N80"/>
    <mergeCell ref="O80:P80"/>
    <mergeCell ref="Q80:S80"/>
    <mergeCell ref="T80:X80"/>
    <mergeCell ref="L82:N82"/>
    <mergeCell ref="O82:P82"/>
    <mergeCell ref="Q82:S82"/>
    <mergeCell ref="T82:X82"/>
    <mergeCell ref="Y80:Z80"/>
    <mergeCell ref="A81:H81"/>
    <mergeCell ref="I81:K81"/>
    <mergeCell ref="L81:N81"/>
    <mergeCell ref="O81:P81"/>
    <mergeCell ref="Q81:S81"/>
    <mergeCell ref="Y82:Z82"/>
    <mergeCell ref="A83:H83"/>
    <mergeCell ref="I83:K83"/>
    <mergeCell ref="L83:N83"/>
    <mergeCell ref="O83:P83"/>
    <mergeCell ref="Q83:S83"/>
    <mergeCell ref="T83:X83"/>
    <mergeCell ref="Y83:Z83"/>
    <mergeCell ref="A82:H82"/>
    <mergeCell ref="I82:K82"/>
    <mergeCell ref="T85:X85"/>
    <mergeCell ref="Y85:Z85"/>
    <mergeCell ref="A84:H84"/>
    <mergeCell ref="I84:K84"/>
    <mergeCell ref="L84:N84"/>
    <mergeCell ref="O84:P84"/>
    <mergeCell ref="Q84:S84"/>
    <mergeCell ref="T84:X84"/>
    <mergeCell ref="L86:N86"/>
    <mergeCell ref="O86:P86"/>
    <mergeCell ref="Q86:S86"/>
    <mergeCell ref="T86:X86"/>
    <mergeCell ref="Y84:Z84"/>
    <mergeCell ref="A85:H85"/>
    <mergeCell ref="I85:K85"/>
    <mergeCell ref="L85:N85"/>
    <mergeCell ref="O85:P85"/>
    <mergeCell ref="Q85:S85"/>
    <mergeCell ref="Y86:Z86"/>
    <mergeCell ref="A87:H87"/>
    <mergeCell ref="I87:K87"/>
    <mergeCell ref="L87:N87"/>
    <mergeCell ref="O87:P87"/>
    <mergeCell ref="Q87:S87"/>
    <mergeCell ref="T87:X87"/>
    <mergeCell ref="Y87:Z87"/>
    <mergeCell ref="A86:H86"/>
    <mergeCell ref="I86:K86"/>
    <mergeCell ref="T89:X89"/>
    <mergeCell ref="Y89:Z89"/>
    <mergeCell ref="A88:H88"/>
    <mergeCell ref="I88:K88"/>
    <mergeCell ref="L88:N88"/>
    <mergeCell ref="O88:P88"/>
    <mergeCell ref="Q88:S88"/>
    <mergeCell ref="T88:X88"/>
    <mergeCell ref="L90:N90"/>
    <mergeCell ref="O90:P90"/>
    <mergeCell ref="Q90:S90"/>
    <mergeCell ref="T90:X90"/>
    <mergeCell ref="Y88:Z88"/>
    <mergeCell ref="A89:H89"/>
    <mergeCell ref="I89:K89"/>
    <mergeCell ref="L89:N89"/>
    <mergeCell ref="O89:P89"/>
    <mergeCell ref="Q89:S89"/>
    <mergeCell ref="Y90:Z90"/>
    <mergeCell ref="A91:H91"/>
    <mergeCell ref="I91:K91"/>
    <mergeCell ref="L91:N91"/>
    <mergeCell ref="O91:P91"/>
    <mergeCell ref="Q91:S91"/>
    <mergeCell ref="T91:X91"/>
    <mergeCell ref="Y91:Z91"/>
    <mergeCell ref="A90:H90"/>
    <mergeCell ref="I90:K90"/>
    <mergeCell ref="T93:X93"/>
    <mergeCell ref="Y93:Z93"/>
    <mergeCell ref="A92:H92"/>
    <mergeCell ref="I92:K92"/>
    <mergeCell ref="L92:N92"/>
    <mergeCell ref="O92:P92"/>
    <mergeCell ref="Q92:S92"/>
    <mergeCell ref="T92:X92"/>
    <mergeCell ref="L94:N94"/>
    <mergeCell ref="O94:P94"/>
    <mergeCell ref="Q94:S94"/>
    <mergeCell ref="T94:X94"/>
    <mergeCell ref="Y92:Z92"/>
    <mergeCell ref="A93:H93"/>
    <mergeCell ref="I93:K93"/>
    <mergeCell ref="L93:N93"/>
    <mergeCell ref="O93:P93"/>
    <mergeCell ref="Q93:S93"/>
    <mergeCell ref="Y94:Z94"/>
    <mergeCell ref="A95:H95"/>
    <mergeCell ref="I95:K95"/>
    <mergeCell ref="L95:N95"/>
    <mergeCell ref="O95:P95"/>
    <mergeCell ref="Q95:S95"/>
    <mergeCell ref="T95:X95"/>
    <mergeCell ref="Y95:Z95"/>
    <mergeCell ref="A94:H94"/>
    <mergeCell ref="I94:K94"/>
    <mergeCell ref="T97:X97"/>
    <mergeCell ref="Y97:Z97"/>
    <mergeCell ref="A96:H96"/>
    <mergeCell ref="I96:K96"/>
    <mergeCell ref="L96:N96"/>
    <mergeCell ref="O96:P96"/>
    <mergeCell ref="Q96:S96"/>
    <mergeCell ref="T96:X96"/>
    <mergeCell ref="L98:N98"/>
    <mergeCell ref="O98:P98"/>
    <mergeCell ref="Q98:S98"/>
    <mergeCell ref="T98:X98"/>
    <mergeCell ref="Y96:Z96"/>
    <mergeCell ref="A97:H97"/>
    <mergeCell ref="I97:K97"/>
    <mergeCell ref="L97:N97"/>
    <mergeCell ref="O97:P97"/>
    <mergeCell ref="Q97:S97"/>
    <mergeCell ref="Y98:Z98"/>
    <mergeCell ref="A99:H99"/>
    <mergeCell ref="I99:K99"/>
    <mergeCell ref="L99:N99"/>
    <mergeCell ref="O99:P99"/>
    <mergeCell ref="Q99:S99"/>
    <mergeCell ref="T99:X99"/>
    <mergeCell ref="Y99:Z99"/>
    <mergeCell ref="A98:H98"/>
    <mergeCell ref="I98:K98"/>
    <mergeCell ref="T101:X101"/>
    <mergeCell ref="Y101:Z101"/>
    <mergeCell ref="A100:H100"/>
    <mergeCell ref="I100:K100"/>
    <mergeCell ref="L100:N100"/>
    <mergeCell ref="O100:P100"/>
    <mergeCell ref="Q100:S100"/>
    <mergeCell ref="T100:X100"/>
    <mergeCell ref="L102:N102"/>
    <mergeCell ref="O102:P102"/>
    <mergeCell ref="Q102:S102"/>
    <mergeCell ref="T102:X102"/>
    <mergeCell ref="Y100:Z100"/>
    <mergeCell ref="A101:H101"/>
    <mergeCell ref="I101:K101"/>
    <mergeCell ref="L101:N101"/>
    <mergeCell ref="O101:P101"/>
    <mergeCell ref="Q101:S101"/>
    <mergeCell ref="Y102:Z102"/>
    <mergeCell ref="A103:H103"/>
    <mergeCell ref="I103:K103"/>
    <mergeCell ref="L103:N103"/>
    <mergeCell ref="O103:P103"/>
    <mergeCell ref="Q103:S103"/>
    <mergeCell ref="T103:X103"/>
    <mergeCell ref="Y103:Z103"/>
    <mergeCell ref="A102:H102"/>
    <mergeCell ref="I102:K102"/>
    <mergeCell ref="T105:X105"/>
    <mergeCell ref="Y105:Z105"/>
    <mergeCell ref="A104:H104"/>
    <mergeCell ref="I104:K104"/>
    <mergeCell ref="L104:N104"/>
    <mergeCell ref="O104:P104"/>
    <mergeCell ref="Q104:S104"/>
    <mergeCell ref="T104:X104"/>
    <mergeCell ref="L106:N106"/>
    <mergeCell ref="O106:P106"/>
    <mergeCell ref="Q106:S106"/>
    <mergeCell ref="T106:X106"/>
    <mergeCell ref="Y104:Z104"/>
    <mergeCell ref="A105:H105"/>
    <mergeCell ref="I105:K105"/>
    <mergeCell ref="L105:N105"/>
    <mergeCell ref="O105:P105"/>
    <mergeCell ref="Q105:S105"/>
    <mergeCell ref="Y106:Z106"/>
    <mergeCell ref="A107:H107"/>
    <mergeCell ref="I107:K107"/>
    <mergeCell ref="L107:N107"/>
    <mergeCell ref="O107:P107"/>
    <mergeCell ref="Q107:S107"/>
    <mergeCell ref="T107:X107"/>
    <mergeCell ref="Y107:Z107"/>
    <mergeCell ref="A106:H106"/>
    <mergeCell ref="I106:K106"/>
    <mergeCell ref="T109:X109"/>
    <mergeCell ref="Y109:Z109"/>
    <mergeCell ref="A108:H108"/>
    <mergeCell ref="I108:K108"/>
    <mergeCell ref="L108:N108"/>
    <mergeCell ref="O108:P108"/>
    <mergeCell ref="Q108:S108"/>
    <mergeCell ref="T108:X108"/>
    <mergeCell ref="L110:N110"/>
    <mergeCell ref="O110:P110"/>
    <mergeCell ref="Q110:S110"/>
    <mergeCell ref="T110:X110"/>
    <mergeCell ref="Y108:Z108"/>
    <mergeCell ref="A109:H109"/>
    <mergeCell ref="I109:K109"/>
    <mergeCell ref="L109:N109"/>
    <mergeCell ref="O109:P109"/>
    <mergeCell ref="Q109:S109"/>
    <mergeCell ref="Y110:Z110"/>
    <mergeCell ref="A111:H111"/>
    <mergeCell ref="I111:K111"/>
    <mergeCell ref="L111:N111"/>
    <mergeCell ref="O111:P111"/>
    <mergeCell ref="Q111:S111"/>
    <mergeCell ref="T111:X111"/>
    <mergeCell ref="Y111:Z111"/>
    <mergeCell ref="A110:H110"/>
    <mergeCell ref="I110:K110"/>
    <mergeCell ref="T113:X113"/>
    <mergeCell ref="Y113:Z113"/>
    <mergeCell ref="A112:H112"/>
    <mergeCell ref="I112:K112"/>
    <mergeCell ref="L112:N112"/>
    <mergeCell ref="O112:P112"/>
    <mergeCell ref="Q112:S112"/>
    <mergeCell ref="T112:X112"/>
    <mergeCell ref="L114:N114"/>
    <mergeCell ref="O114:P114"/>
    <mergeCell ref="Q114:S114"/>
    <mergeCell ref="T114:X114"/>
    <mergeCell ref="Y112:Z112"/>
    <mergeCell ref="A113:H113"/>
    <mergeCell ref="I113:K113"/>
    <mergeCell ref="L113:N113"/>
    <mergeCell ref="O113:P113"/>
    <mergeCell ref="Q113:S113"/>
    <mergeCell ref="Y114:Z114"/>
    <mergeCell ref="A115:H115"/>
    <mergeCell ref="I115:K115"/>
    <mergeCell ref="L115:N115"/>
    <mergeCell ref="O115:P115"/>
    <mergeCell ref="Q115:S115"/>
    <mergeCell ref="T115:X115"/>
    <mergeCell ref="Y115:Z115"/>
    <mergeCell ref="A114:H114"/>
    <mergeCell ref="I114:K114"/>
    <mergeCell ref="T117:X117"/>
    <mergeCell ref="Y117:Z117"/>
    <mergeCell ref="A116:H116"/>
    <mergeCell ref="I116:K116"/>
    <mergeCell ref="L116:N116"/>
    <mergeCell ref="O116:P116"/>
    <mergeCell ref="Q116:S116"/>
    <mergeCell ref="T116:X116"/>
    <mergeCell ref="L118:N118"/>
    <mergeCell ref="O118:P118"/>
    <mergeCell ref="Q118:S118"/>
    <mergeCell ref="T118:X118"/>
    <mergeCell ref="Y116:Z116"/>
    <mergeCell ref="A117:H117"/>
    <mergeCell ref="I117:K117"/>
    <mergeCell ref="L117:N117"/>
    <mergeCell ref="O117:P117"/>
    <mergeCell ref="Q117:S117"/>
    <mergeCell ref="Y118:Z118"/>
    <mergeCell ref="A119:H119"/>
    <mergeCell ref="I119:K119"/>
    <mergeCell ref="L119:N119"/>
    <mergeCell ref="O119:P119"/>
    <mergeCell ref="Q119:S119"/>
    <mergeCell ref="T119:X119"/>
    <mergeCell ref="Y119:Z119"/>
    <mergeCell ref="A118:H118"/>
    <mergeCell ref="I118:K118"/>
    <mergeCell ref="T121:X121"/>
    <mergeCell ref="Y121:Z121"/>
    <mergeCell ref="A120:H120"/>
    <mergeCell ref="I120:K120"/>
    <mergeCell ref="L120:N120"/>
    <mergeCell ref="O120:P120"/>
    <mergeCell ref="Q120:S120"/>
    <mergeCell ref="T120:X120"/>
    <mergeCell ref="L122:N122"/>
    <mergeCell ref="O122:P122"/>
    <mergeCell ref="Q122:S122"/>
    <mergeCell ref="T122:X122"/>
    <mergeCell ref="Y120:Z120"/>
    <mergeCell ref="A121:H121"/>
    <mergeCell ref="I121:K121"/>
    <mergeCell ref="L121:N121"/>
    <mergeCell ref="O121:P121"/>
    <mergeCell ref="Q121:S121"/>
    <mergeCell ref="Y122:Z122"/>
    <mergeCell ref="A123:H123"/>
    <mergeCell ref="I123:K123"/>
    <mergeCell ref="L123:N123"/>
    <mergeCell ref="O123:P123"/>
    <mergeCell ref="Q123:S123"/>
    <mergeCell ref="T123:X123"/>
    <mergeCell ref="Y123:Z123"/>
    <mergeCell ref="A122:H122"/>
    <mergeCell ref="I122:K122"/>
    <mergeCell ref="T125:X125"/>
    <mergeCell ref="Y125:Z125"/>
    <mergeCell ref="A124:H124"/>
    <mergeCell ref="I124:K124"/>
    <mergeCell ref="L124:N124"/>
    <mergeCell ref="O124:P124"/>
    <mergeCell ref="Q124:S124"/>
    <mergeCell ref="T124:X124"/>
    <mergeCell ref="L126:N126"/>
    <mergeCell ref="O126:P126"/>
    <mergeCell ref="Q126:S126"/>
    <mergeCell ref="T126:X126"/>
    <mergeCell ref="Y124:Z124"/>
    <mergeCell ref="A125:H125"/>
    <mergeCell ref="I125:K125"/>
    <mergeCell ref="L125:N125"/>
    <mergeCell ref="O125:P125"/>
    <mergeCell ref="Q125:S125"/>
    <mergeCell ref="Y126:Z126"/>
    <mergeCell ref="A127:H127"/>
    <mergeCell ref="I127:K127"/>
    <mergeCell ref="L127:N127"/>
    <mergeCell ref="O127:P127"/>
    <mergeCell ref="Q127:S127"/>
    <mergeCell ref="T127:X127"/>
    <mergeCell ref="Y127:Z127"/>
    <mergeCell ref="A126:H126"/>
    <mergeCell ref="I126:K126"/>
    <mergeCell ref="T129:X129"/>
    <mergeCell ref="Y129:Z129"/>
    <mergeCell ref="A128:H128"/>
    <mergeCell ref="I128:K128"/>
    <mergeCell ref="L128:N128"/>
    <mergeCell ref="O128:P128"/>
    <mergeCell ref="Q128:S128"/>
    <mergeCell ref="T128:X128"/>
    <mergeCell ref="L130:N130"/>
    <mergeCell ref="O130:P130"/>
    <mergeCell ref="Q130:S130"/>
    <mergeCell ref="T130:X130"/>
    <mergeCell ref="Y128:Z128"/>
    <mergeCell ref="A129:H129"/>
    <mergeCell ref="I129:K129"/>
    <mergeCell ref="L129:N129"/>
    <mergeCell ref="O129:P129"/>
    <mergeCell ref="Q129:S129"/>
    <mergeCell ref="Y130:Z130"/>
    <mergeCell ref="A131:H131"/>
    <mergeCell ref="I131:K131"/>
    <mergeCell ref="L131:N131"/>
    <mergeCell ref="O131:P131"/>
    <mergeCell ref="Q131:S131"/>
    <mergeCell ref="T131:X131"/>
    <mergeCell ref="Y131:Z131"/>
    <mergeCell ref="A130:H130"/>
    <mergeCell ref="I130:K130"/>
    <mergeCell ref="T133:X133"/>
    <mergeCell ref="Y133:Z133"/>
    <mergeCell ref="A132:H132"/>
    <mergeCell ref="I132:K132"/>
    <mergeCell ref="L132:N132"/>
    <mergeCell ref="O132:P132"/>
    <mergeCell ref="Q132:S132"/>
    <mergeCell ref="T132:X132"/>
    <mergeCell ref="L134:N134"/>
    <mergeCell ref="O134:P134"/>
    <mergeCell ref="Q134:S134"/>
    <mergeCell ref="T134:X134"/>
    <mergeCell ref="Y132:Z132"/>
    <mergeCell ref="A133:H133"/>
    <mergeCell ref="I133:K133"/>
    <mergeCell ref="L133:N133"/>
    <mergeCell ref="O133:P133"/>
    <mergeCell ref="Q133:S133"/>
    <mergeCell ref="Y134:Z134"/>
    <mergeCell ref="A135:H135"/>
    <mergeCell ref="I135:K135"/>
    <mergeCell ref="L135:N135"/>
    <mergeCell ref="O135:P135"/>
    <mergeCell ref="Q135:S135"/>
    <mergeCell ref="T135:X135"/>
    <mergeCell ref="Y135:Z135"/>
    <mergeCell ref="A134:H134"/>
    <mergeCell ref="I134:K134"/>
    <mergeCell ref="T137:X137"/>
    <mergeCell ref="Y137:Z137"/>
    <mergeCell ref="A136:H136"/>
    <mergeCell ref="I136:K136"/>
    <mergeCell ref="L136:N136"/>
    <mergeCell ref="O136:P136"/>
    <mergeCell ref="Q136:S136"/>
    <mergeCell ref="T136:X136"/>
    <mergeCell ref="L138:N138"/>
    <mergeCell ref="O138:P138"/>
    <mergeCell ref="Q138:S138"/>
    <mergeCell ref="T138:X138"/>
    <mergeCell ref="Y136:Z136"/>
    <mergeCell ref="A137:H137"/>
    <mergeCell ref="I137:K137"/>
    <mergeCell ref="L137:N137"/>
    <mergeCell ref="O137:P137"/>
    <mergeCell ref="Q137:S137"/>
    <mergeCell ref="Y138:Z138"/>
    <mergeCell ref="A139:H139"/>
    <mergeCell ref="I139:K139"/>
    <mergeCell ref="L139:N139"/>
    <mergeCell ref="O139:P139"/>
    <mergeCell ref="Q139:S139"/>
    <mergeCell ref="T139:X139"/>
    <mergeCell ref="Y139:Z139"/>
    <mergeCell ref="A138:H138"/>
    <mergeCell ref="I138:K138"/>
    <mergeCell ref="T141:X141"/>
    <mergeCell ref="Y141:Z141"/>
    <mergeCell ref="A140:H140"/>
    <mergeCell ref="I140:K140"/>
    <mergeCell ref="L140:N140"/>
    <mergeCell ref="O140:P140"/>
    <mergeCell ref="Q140:S140"/>
    <mergeCell ref="T140:X140"/>
    <mergeCell ref="L142:N142"/>
    <mergeCell ref="O142:P142"/>
    <mergeCell ref="Q142:S142"/>
    <mergeCell ref="T142:X142"/>
    <mergeCell ref="Y140:Z140"/>
    <mergeCell ref="A141:H141"/>
    <mergeCell ref="I141:K141"/>
    <mergeCell ref="L141:N141"/>
    <mergeCell ref="O141:P141"/>
    <mergeCell ref="Q141:S141"/>
    <mergeCell ref="Y142:Z142"/>
    <mergeCell ref="A143:H143"/>
    <mergeCell ref="I143:K143"/>
    <mergeCell ref="L143:N143"/>
    <mergeCell ref="O143:P143"/>
    <mergeCell ref="Q143:S143"/>
    <mergeCell ref="T143:X143"/>
    <mergeCell ref="Y143:Z143"/>
    <mergeCell ref="A142:H142"/>
    <mergeCell ref="I142:K142"/>
    <mergeCell ref="T145:X145"/>
    <mergeCell ref="Y145:Z145"/>
    <mergeCell ref="A144:H144"/>
    <mergeCell ref="I144:K144"/>
    <mergeCell ref="L144:N144"/>
    <mergeCell ref="O144:P144"/>
    <mergeCell ref="Q144:S144"/>
    <mergeCell ref="T144:X144"/>
    <mergeCell ref="L146:N146"/>
    <mergeCell ref="O146:P146"/>
    <mergeCell ref="Q146:S146"/>
    <mergeCell ref="T146:X146"/>
    <mergeCell ref="Y144:Z144"/>
    <mergeCell ref="A145:H145"/>
    <mergeCell ref="I145:K145"/>
    <mergeCell ref="L145:N145"/>
    <mergeCell ref="O145:P145"/>
    <mergeCell ref="Q145:S145"/>
    <mergeCell ref="Y146:Z146"/>
    <mergeCell ref="A147:H147"/>
    <mergeCell ref="I147:K147"/>
    <mergeCell ref="L147:N147"/>
    <mergeCell ref="O147:P147"/>
    <mergeCell ref="Q147:S147"/>
    <mergeCell ref="T147:X147"/>
    <mergeCell ref="Y147:Z147"/>
    <mergeCell ref="A146:H146"/>
    <mergeCell ref="I146:K146"/>
    <mergeCell ref="T149:X149"/>
    <mergeCell ref="Y149:Z149"/>
    <mergeCell ref="A148:H148"/>
    <mergeCell ref="I148:K148"/>
    <mergeCell ref="L148:N148"/>
    <mergeCell ref="O148:P148"/>
    <mergeCell ref="Q148:S148"/>
    <mergeCell ref="T148:X148"/>
    <mergeCell ref="L150:N150"/>
    <mergeCell ref="O150:P150"/>
    <mergeCell ref="Q150:S150"/>
    <mergeCell ref="T150:X150"/>
    <mergeCell ref="Y148:Z148"/>
    <mergeCell ref="A149:H149"/>
    <mergeCell ref="I149:K149"/>
    <mergeCell ref="L149:N149"/>
    <mergeCell ref="O149:P149"/>
    <mergeCell ref="Q149:S149"/>
    <mergeCell ref="Y150:Z150"/>
    <mergeCell ref="A151:H151"/>
    <mergeCell ref="I151:K151"/>
    <mergeCell ref="L151:N151"/>
    <mergeCell ref="O151:P151"/>
    <mergeCell ref="Q151:S151"/>
    <mergeCell ref="T151:X151"/>
    <mergeCell ref="Y151:Z151"/>
    <mergeCell ref="A150:H150"/>
    <mergeCell ref="I150:K150"/>
    <mergeCell ref="T153:X153"/>
    <mergeCell ref="Y153:Z153"/>
    <mergeCell ref="A152:H152"/>
    <mergeCell ref="I152:K152"/>
    <mergeCell ref="L152:N152"/>
    <mergeCell ref="O152:P152"/>
    <mergeCell ref="Q152:S152"/>
    <mergeCell ref="T152:X152"/>
    <mergeCell ref="L154:N154"/>
    <mergeCell ref="O154:P154"/>
    <mergeCell ref="Q154:S154"/>
    <mergeCell ref="T154:X154"/>
    <mergeCell ref="Y152:Z152"/>
    <mergeCell ref="A153:H153"/>
    <mergeCell ref="I153:K153"/>
    <mergeCell ref="L153:N153"/>
    <mergeCell ref="O153:P153"/>
    <mergeCell ref="Q153:S153"/>
    <mergeCell ref="Y154:Z154"/>
    <mergeCell ref="A155:H155"/>
    <mergeCell ref="I155:K155"/>
    <mergeCell ref="L155:N155"/>
    <mergeCell ref="O155:P155"/>
    <mergeCell ref="Q155:S155"/>
    <mergeCell ref="T155:X155"/>
    <mergeCell ref="Y155:Z155"/>
    <mergeCell ref="A154:H154"/>
    <mergeCell ref="I154:K154"/>
    <mergeCell ref="T157:X157"/>
    <mergeCell ref="Y157:Z157"/>
    <mergeCell ref="A156:H156"/>
    <mergeCell ref="I156:K156"/>
    <mergeCell ref="L156:N156"/>
    <mergeCell ref="O156:P156"/>
    <mergeCell ref="Q156:S156"/>
    <mergeCell ref="T156:X156"/>
    <mergeCell ref="L158:N158"/>
    <mergeCell ref="O158:P158"/>
    <mergeCell ref="Q158:S158"/>
    <mergeCell ref="T158:X158"/>
    <mergeCell ref="Y156:Z156"/>
    <mergeCell ref="A157:H157"/>
    <mergeCell ref="I157:K157"/>
    <mergeCell ref="L157:N157"/>
    <mergeCell ref="O157:P157"/>
    <mergeCell ref="Q157:S157"/>
    <mergeCell ref="Y158:Z158"/>
    <mergeCell ref="A159:H159"/>
    <mergeCell ref="I159:K159"/>
    <mergeCell ref="L159:N159"/>
    <mergeCell ref="O159:P159"/>
    <mergeCell ref="Q159:S159"/>
    <mergeCell ref="T159:X159"/>
    <mergeCell ref="Y159:Z159"/>
    <mergeCell ref="A158:H158"/>
    <mergeCell ref="I158:K158"/>
    <mergeCell ref="T161:X161"/>
    <mergeCell ref="Y161:Z161"/>
    <mergeCell ref="A160:H160"/>
    <mergeCell ref="I160:K160"/>
    <mergeCell ref="L160:N160"/>
    <mergeCell ref="O160:P160"/>
    <mergeCell ref="Q160:S160"/>
    <mergeCell ref="T160:X160"/>
    <mergeCell ref="L162:N162"/>
    <mergeCell ref="O162:P162"/>
    <mergeCell ref="Q162:S162"/>
    <mergeCell ref="T162:X162"/>
    <mergeCell ref="Y160:Z160"/>
    <mergeCell ref="A161:H161"/>
    <mergeCell ref="I161:K161"/>
    <mergeCell ref="L161:N161"/>
    <mergeCell ref="O161:P161"/>
    <mergeCell ref="Q161:S161"/>
    <mergeCell ref="Y162:Z162"/>
    <mergeCell ref="A163:H163"/>
    <mergeCell ref="I163:K163"/>
    <mergeCell ref="L163:N163"/>
    <mergeCell ref="O163:P163"/>
    <mergeCell ref="Q163:S163"/>
    <mergeCell ref="T163:X163"/>
    <mergeCell ref="Y163:Z163"/>
    <mergeCell ref="A162:H162"/>
    <mergeCell ref="I162:K162"/>
    <mergeCell ref="T165:X165"/>
    <mergeCell ref="Y165:Z165"/>
    <mergeCell ref="A164:H164"/>
    <mergeCell ref="I164:K164"/>
    <mergeCell ref="L164:N164"/>
    <mergeCell ref="O164:P164"/>
    <mergeCell ref="Q164:S164"/>
    <mergeCell ref="T164:X164"/>
    <mergeCell ref="L166:N166"/>
    <mergeCell ref="O166:P166"/>
    <mergeCell ref="Q166:S166"/>
    <mergeCell ref="T166:X166"/>
    <mergeCell ref="Y164:Z164"/>
    <mergeCell ref="A165:H165"/>
    <mergeCell ref="I165:K165"/>
    <mergeCell ref="L165:N165"/>
    <mergeCell ref="O165:P165"/>
    <mergeCell ref="Q165:S165"/>
    <mergeCell ref="Y166:Z166"/>
    <mergeCell ref="A167:H167"/>
    <mergeCell ref="I167:K167"/>
    <mergeCell ref="L167:N167"/>
    <mergeCell ref="O167:P167"/>
    <mergeCell ref="Q167:S167"/>
    <mergeCell ref="T167:X167"/>
    <mergeCell ref="Y167:Z167"/>
    <mergeCell ref="A166:H166"/>
    <mergeCell ref="I166:K166"/>
    <mergeCell ref="T169:X169"/>
    <mergeCell ref="Y169:Z169"/>
    <mergeCell ref="A168:H168"/>
    <mergeCell ref="I168:K168"/>
    <mergeCell ref="L168:N168"/>
    <mergeCell ref="O168:P168"/>
    <mergeCell ref="Q168:S168"/>
    <mergeCell ref="T168:X168"/>
    <mergeCell ref="L170:N170"/>
    <mergeCell ref="O170:P170"/>
    <mergeCell ref="Q170:S170"/>
    <mergeCell ref="T170:X170"/>
    <mergeCell ref="Y168:Z168"/>
    <mergeCell ref="A169:H169"/>
    <mergeCell ref="I169:K169"/>
    <mergeCell ref="L169:N169"/>
    <mergeCell ref="O169:P169"/>
    <mergeCell ref="Q169:S169"/>
    <mergeCell ref="Y170:Z170"/>
    <mergeCell ref="A171:H171"/>
    <mergeCell ref="I171:K171"/>
    <mergeCell ref="L171:N171"/>
    <mergeCell ref="O171:P171"/>
    <mergeCell ref="Q171:S171"/>
    <mergeCell ref="T171:X171"/>
    <mergeCell ref="Y171:Z171"/>
    <mergeCell ref="A170:H170"/>
    <mergeCell ref="I170:K170"/>
    <mergeCell ref="A172:H172"/>
    <mergeCell ref="I172:K172"/>
    <mergeCell ref="L172:N172"/>
    <mergeCell ref="O172:P172"/>
    <mergeCell ref="Q172:S172"/>
    <mergeCell ref="T172:X172"/>
    <mergeCell ref="A173:H173"/>
    <mergeCell ref="I173:K173"/>
    <mergeCell ref="L173:N173"/>
    <mergeCell ref="O173:P173"/>
    <mergeCell ref="Q173:S173"/>
    <mergeCell ref="T173:X173"/>
    <mergeCell ref="I174:K174"/>
    <mergeCell ref="L174:N174"/>
    <mergeCell ref="O174:P174"/>
    <mergeCell ref="Q174:S174"/>
    <mergeCell ref="T174:X174"/>
    <mergeCell ref="Y172:Z172"/>
    <mergeCell ref="Y173:Z173"/>
    <mergeCell ref="Y174:Z174"/>
    <mergeCell ref="Y175:Z175"/>
    <mergeCell ref="Y176:Z176"/>
    <mergeCell ref="A175:H175"/>
    <mergeCell ref="I175:K175"/>
    <mergeCell ref="L175:N175"/>
    <mergeCell ref="O175:P175"/>
    <mergeCell ref="Q175:S175"/>
    <mergeCell ref="T175:X175"/>
    <mergeCell ref="A174:H174"/>
    <mergeCell ref="M179:O179"/>
    <mergeCell ref="P179:R179"/>
    <mergeCell ref="S179:W179"/>
    <mergeCell ref="X179:Z179"/>
    <mergeCell ref="I176:K176"/>
    <mergeCell ref="L176:N176"/>
    <mergeCell ref="O176:P176"/>
    <mergeCell ref="Q176:S176"/>
    <mergeCell ref="T176:X176"/>
    <mergeCell ref="A176:H176"/>
    <mergeCell ref="A180:I180"/>
    <mergeCell ref="J180:L180"/>
    <mergeCell ref="M180:O180"/>
    <mergeCell ref="P180:R180"/>
    <mergeCell ref="S180:W180"/>
    <mergeCell ref="A177:Z177"/>
    <mergeCell ref="A178:Z178"/>
    <mergeCell ref="A179:I179"/>
    <mergeCell ref="J179:L179"/>
    <mergeCell ref="X180:Z180"/>
    <mergeCell ref="A181:I181"/>
    <mergeCell ref="J181:L181"/>
    <mergeCell ref="M181:O181"/>
    <mergeCell ref="P181:R181"/>
    <mergeCell ref="S181:W181"/>
    <mergeCell ref="X181:Z181"/>
    <mergeCell ref="A182:I182"/>
    <mergeCell ref="J182:L182"/>
    <mergeCell ref="M182:O182"/>
    <mergeCell ref="P182:R182"/>
    <mergeCell ref="S182:W182"/>
    <mergeCell ref="X182:Z182"/>
    <mergeCell ref="A183:I183"/>
    <mergeCell ref="J183:L183"/>
    <mergeCell ref="M183:O183"/>
    <mergeCell ref="P183:R183"/>
    <mergeCell ref="S183:W183"/>
    <mergeCell ref="X183:Z183"/>
    <mergeCell ref="A184:I184"/>
    <mergeCell ref="J184:L184"/>
    <mergeCell ref="M184:O184"/>
    <mergeCell ref="P184:R184"/>
    <mergeCell ref="S184:W184"/>
    <mergeCell ref="X184:Z184"/>
    <mergeCell ref="A185:I185"/>
    <mergeCell ref="J185:L185"/>
    <mergeCell ref="M185:O185"/>
    <mergeCell ref="P185:R185"/>
    <mergeCell ref="S185:W185"/>
    <mergeCell ref="X185:Z185"/>
    <mergeCell ref="A186:I186"/>
    <mergeCell ref="J186:L186"/>
    <mergeCell ref="M186:O186"/>
    <mergeCell ref="P186:R186"/>
    <mergeCell ref="S186:W186"/>
    <mergeCell ref="X186:Z186"/>
    <mergeCell ref="A187:I187"/>
    <mergeCell ref="J187:L187"/>
    <mergeCell ref="M187:O187"/>
    <mergeCell ref="P187:R187"/>
    <mergeCell ref="S187:W187"/>
    <mergeCell ref="X187:Z187"/>
    <mergeCell ref="A188:I188"/>
    <mergeCell ref="J188:L188"/>
    <mergeCell ref="M188:O188"/>
    <mergeCell ref="P188:R188"/>
    <mergeCell ref="S188:W188"/>
    <mergeCell ref="X188:Z188"/>
    <mergeCell ref="K192:L192"/>
    <mergeCell ref="N192:P192"/>
    <mergeCell ref="Q192:Z192"/>
    <mergeCell ref="A189:I189"/>
    <mergeCell ref="J189:L189"/>
    <mergeCell ref="M189:O189"/>
    <mergeCell ref="P189:R189"/>
    <mergeCell ref="S189:W189"/>
    <mergeCell ref="X189:Z189"/>
    <mergeCell ref="K195:L195"/>
    <mergeCell ref="N195:P195"/>
    <mergeCell ref="Q195:Z195"/>
    <mergeCell ref="A190:Z190"/>
    <mergeCell ref="A191:E191"/>
    <mergeCell ref="F191:L191"/>
    <mergeCell ref="M191:Q191"/>
    <mergeCell ref="R191:Z191"/>
    <mergeCell ref="A192:E192"/>
    <mergeCell ref="G192:J192"/>
    <mergeCell ref="A196:Z196"/>
    <mergeCell ref="A197:G197"/>
    <mergeCell ref="H197:Z197"/>
    <mergeCell ref="A193:Z193"/>
    <mergeCell ref="A194:E194"/>
    <mergeCell ref="F194:L194"/>
    <mergeCell ref="M194:Q194"/>
    <mergeCell ref="R194:Z194"/>
    <mergeCell ref="A195:E195"/>
    <mergeCell ref="G195:J195"/>
  </mergeCells>
  <pageMargins left="0.39370078740157483" right="0" top="0.39370078740157483" bottom="0" header="0.5" footer="0.5"/>
  <pageSetup paperSize="9" scale="94" firstPageNumber="4294967295" fitToHeight="0" orientation="landscape" r:id="rId1"/>
  <headerFooter alignWithMargins="0">
    <oddFooter>&amp;CСтраница &amp;С из &amp;К</oddFooter>
  </headerFooter>
  <rowBreaks count="2" manualBreakCount="2">
    <brk id="45" max="16383" man="1"/>
    <brk id="177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2024-06-10T12:00:20Z</cp:lastPrinted>
  <dcterms:created xsi:type="dcterms:W3CDTF">2024-11-05T13:21:58Z</dcterms:created>
  <dcterms:modified xsi:type="dcterms:W3CDTF">2024-11-05T13:21:58Z</dcterms:modified>
</cp:coreProperties>
</file>