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1340" windowHeight="6795"/>
  </bookViews>
  <sheets>
    <sheet name="0503117 Отчет об исп" sheetId="1" r:id="rId1"/>
  </sheets>
  <calcPr calcId="144525"/>
</workbook>
</file>

<file path=xl/calcChain.xml><?xml version="1.0" encoding="utf-8"?>
<calcChain xmlns="http://schemas.openxmlformats.org/spreadsheetml/2006/main">
  <c r="P12" i="1" l="1"/>
  <c r="S12" i="1"/>
  <c r="X12" i="1" s="1"/>
  <c r="P13" i="1"/>
  <c r="S13" i="1"/>
  <c r="X13" i="1" s="1"/>
  <c r="P14" i="1"/>
  <c r="S14" i="1"/>
  <c r="X14" i="1" s="1"/>
  <c r="P15" i="1"/>
  <c r="S15" i="1"/>
  <c r="X15" i="1" s="1"/>
  <c r="P16" i="1"/>
  <c r="S16" i="1"/>
  <c r="X16" i="1" s="1"/>
  <c r="P17" i="1"/>
  <c r="S17" i="1"/>
  <c r="P18" i="1"/>
  <c r="S18" i="1"/>
  <c r="P19" i="1"/>
  <c r="S19" i="1"/>
  <c r="X19" i="1" s="1"/>
  <c r="P20" i="1"/>
  <c r="S20" i="1"/>
  <c r="X20" i="1" s="1"/>
  <c r="P21" i="1"/>
  <c r="S21" i="1"/>
  <c r="X21" i="1" s="1"/>
  <c r="P22" i="1"/>
  <c r="S22" i="1"/>
  <c r="X22" i="1" s="1"/>
  <c r="P23" i="1"/>
  <c r="S23" i="1"/>
  <c r="X23" i="1" s="1"/>
  <c r="P24" i="1"/>
  <c r="S24" i="1"/>
  <c r="X24" i="1" s="1"/>
  <c r="P25" i="1"/>
  <c r="S25" i="1"/>
  <c r="X25" i="1" s="1"/>
  <c r="P26" i="1"/>
  <c r="S26" i="1"/>
  <c r="X26" i="1" s="1"/>
  <c r="P27" i="1"/>
  <c r="S27" i="1"/>
  <c r="X27" i="1" s="1"/>
  <c r="P28" i="1"/>
  <c r="S28" i="1"/>
  <c r="X28" i="1" s="1"/>
  <c r="P29" i="1"/>
  <c r="S29" i="1"/>
  <c r="X29" i="1" s="1"/>
  <c r="P30" i="1"/>
  <c r="S30" i="1"/>
  <c r="X30" i="1" s="1"/>
  <c r="S31" i="1"/>
  <c r="S32" i="1"/>
  <c r="P33" i="1"/>
  <c r="S33" i="1"/>
  <c r="X33" i="1" s="1"/>
  <c r="P34" i="1"/>
  <c r="S34" i="1"/>
  <c r="X34" i="1" s="1"/>
  <c r="P35" i="1"/>
  <c r="S35" i="1"/>
  <c r="X35" i="1" s="1"/>
  <c r="P36" i="1"/>
  <c r="S36" i="1"/>
  <c r="X36" i="1" s="1"/>
  <c r="P37" i="1"/>
  <c r="S37" i="1"/>
  <c r="X37" i="1" s="1"/>
  <c r="P38" i="1"/>
  <c r="S38" i="1"/>
  <c r="X38" i="1" s="1"/>
  <c r="P39" i="1"/>
  <c r="S39" i="1"/>
  <c r="X39" i="1" s="1"/>
  <c r="P40" i="1"/>
  <c r="S40" i="1"/>
  <c r="X40" i="1" s="1"/>
  <c r="P41" i="1"/>
  <c r="S41" i="1"/>
  <c r="X41" i="1" s="1"/>
  <c r="P42" i="1"/>
  <c r="S42" i="1"/>
  <c r="X42" i="1" s="1"/>
  <c r="P43" i="1"/>
  <c r="S43" i="1"/>
  <c r="X43" i="1" s="1"/>
  <c r="P44" i="1"/>
  <c r="S44" i="1"/>
  <c r="X44" i="1" s="1"/>
  <c r="P45" i="1"/>
  <c r="S45" i="1"/>
  <c r="X45" i="1" s="1"/>
  <c r="P46" i="1"/>
  <c r="S46" i="1"/>
  <c r="X46" i="1" s="1"/>
  <c r="P47" i="1"/>
  <c r="S47" i="1"/>
  <c r="X47" i="1" s="1"/>
  <c r="P48" i="1"/>
  <c r="S48" i="1"/>
  <c r="X48" i="1" s="1"/>
  <c r="P49" i="1"/>
  <c r="S49" i="1"/>
  <c r="X49" i="1" s="1"/>
  <c r="S50" i="1"/>
  <c r="S51" i="1"/>
  <c r="S52" i="1"/>
  <c r="S53" i="1"/>
  <c r="P54" i="1"/>
  <c r="S54" i="1"/>
  <c r="X54" i="1" s="1"/>
  <c r="P55" i="1"/>
  <c r="S55" i="1"/>
  <c r="X55" i="1" s="1"/>
  <c r="P56" i="1"/>
  <c r="S56" i="1"/>
  <c r="X56" i="1" s="1"/>
  <c r="P57" i="1"/>
  <c r="S57" i="1"/>
  <c r="X57" i="1" s="1"/>
  <c r="P58" i="1"/>
  <c r="S58" i="1"/>
  <c r="X58" i="1" s="1"/>
  <c r="P59" i="1"/>
  <c r="S59" i="1"/>
  <c r="X59" i="1" s="1"/>
  <c r="P60" i="1"/>
  <c r="S60" i="1"/>
  <c r="X60" i="1" s="1"/>
  <c r="P61" i="1"/>
  <c r="S61" i="1"/>
  <c r="X61" i="1" s="1"/>
  <c r="P62" i="1"/>
  <c r="S62" i="1"/>
  <c r="X62" i="1" s="1"/>
  <c r="P63" i="1"/>
  <c r="S63" i="1"/>
  <c r="X63" i="1" s="1"/>
  <c r="P64" i="1"/>
  <c r="S64" i="1"/>
  <c r="X64" i="1" s="1"/>
  <c r="P65" i="1"/>
  <c r="S65" i="1"/>
  <c r="X65" i="1" s="1"/>
  <c r="P66" i="1"/>
  <c r="S66" i="1"/>
  <c r="X66" i="1" s="1"/>
  <c r="P67" i="1"/>
  <c r="P68" i="1"/>
  <c r="P69" i="1"/>
  <c r="S69" i="1"/>
  <c r="X69" i="1" s="1"/>
  <c r="P70" i="1"/>
  <c r="S70" i="1"/>
  <c r="X70" i="1" s="1"/>
  <c r="P71" i="1"/>
  <c r="S71" i="1"/>
  <c r="X71" i="1" s="1"/>
  <c r="P72" i="1"/>
  <c r="S72" i="1"/>
  <c r="X72" i="1" s="1"/>
  <c r="P73" i="1"/>
  <c r="S73" i="1"/>
  <c r="X73" i="1" s="1"/>
  <c r="P74" i="1"/>
  <c r="S74" i="1"/>
  <c r="X74" i="1" s="1"/>
  <c r="P75" i="1"/>
  <c r="S75" i="1"/>
  <c r="X75" i="1" s="1"/>
  <c r="P76" i="1"/>
  <c r="S76" i="1"/>
  <c r="X76" i="1" s="1"/>
  <c r="Q81" i="1"/>
  <c r="T81" i="1"/>
  <c r="Y81" i="1" s="1"/>
  <c r="Q82" i="1"/>
  <c r="T82" i="1"/>
  <c r="Y82" i="1" s="1"/>
  <c r="Q83" i="1"/>
  <c r="T83" i="1"/>
  <c r="Y83" i="1" s="1"/>
  <c r="Q84" i="1"/>
  <c r="T84" i="1"/>
  <c r="Y84" i="1" s="1"/>
  <c r="Q85" i="1"/>
  <c r="T85" i="1"/>
  <c r="Y85" i="1" s="1"/>
  <c r="Q86" i="1"/>
  <c r="T86" i="1"/>
  <c r="Y86" i="1" s="1"/>
  <c r="Q87" i="1"/>
  <c r="T87" i="1"/>
  <c r="Y87" i="1" s="1"/>
  <c r="Q88" i="1"/>
  <c r="Q89" i="1"/>
  <c r="T89" i="1"/>
  <c r="Y89" i="1" s="1"/>
  <c r="Q90" i="1"/>
  <c r="T90" i="1"/>
  <c r="Y90" i="1" s="1"/>
  <c r="Q91" i="1"/>
  <c r="T91" i="1"/>
  <c r="Y91" i="1" s="1"/>
  <c r="Q92" i="1"/>
  <c r="Q93" i="1"/>
  <c r="T93" i="1"/>
  <c r="Y93" i="1" s="1"/>
  <c r="Q94" i="1"/>
  <c r="T94" i="1"/>
  <c r="Y94" i="1" s="1"/>
  <c r="Q95" i="1"/>
  <c r="T95" i="1"/>
  <c r="Y95" i="1" s="1"/>
  <c r="Q96" i="1"/>
  <c r="Q97" i="1"/>
  <c r="T97" i="1"/>
  <c r="Y97" i="1" s="1"/>
  <c r="Q98" i="1"/>
  <c r="Q99" i="1"/>
  <c r="T99" i="1"/>
  <c r="Y99" i="1" s="1"/>
  <c r="Q100" i="1"/>
  <c r="T100" i="1"/>
  <c r="Y100" i="1" s="1"/>
  <c r="Q101" i="1"/>
  <c r="T101" i="1"/>
  <c r="Y101" i="1" s="1"/>
  <c r="Q102" i="1"/>
  <c r="T102" i="1"/>
  <c r="Y102" i="1" s="1"/>
  <c r="Q103" i="1"/>
  <c r="Q104" i="1"/>
  <c r="T104" i="1"/>
  <c r="Y104" i="1" s="1"/>
  <c r="Q105" i="1"/>
  <c r="T105" i="1"/>
  <c r="Y105" i="1" s="1"/>
  <c r="Q106" i="1"/>
  <c r="Q107" i="1"/>
  <c r="Q108" i="1"/>
  <c r="T108" i="1"/>
  <c r="Y108" i="1" s="1"/>
  <c r="Q109" i="1"/>
  <c r="T109" i="1"/>
  <c r="Y109" i="1" s="1"/>
  <c r="Q110" i="1"/>
  <c r="T110" i="1"/>
  <c r="Y110" i="1" s="1"/>
  <c r="Q111" i="1"/>
  <c r="Q112" i="1"/>
  <c r="T112" i="1"/>
  <c r="Y112" i="1" s="1"/>
  <c r="Q113" i="1"/>
  <c r="T113" i="1"/>
  <c r="Y113" i="1" s="1"/>
  <c r="Q114" i="1"/>
  <c r="T114" i="1"/>
  <c r="Y114" i="1" s="1"/>
  <c r="Q115" i="1"/>
  <c r="T115" i="1"/>
  <c r="Y115" i="1" s="1"/>
  <c r="Q116" i="1"/>
  <c r="T116" i="1"/>
  <c r="Y116" i="1" s="1"/>
  <c r="Q117" i="1"/>
  <c r="T117" i="1"/>
  <c r="Y117" i="1" s="1"/>
  <c r="Q118" i="1"/>
  <c r="T118" i="1"/>
  <c r="Y118" i="1" s="1"/>
  <c r="Q119" i="1"/>
  <c r="Q120" i="1"/>
  <c r="T120" i="1"/>
  <c r="Y120" i="1" s="1"/>
  <c r="Q121" i="1"/>
  <c r="Q122" i="1"/>
  <c r="Q123" i="1"/>
  <c r="Q124" i="1"/>
  <c r="T124" i="1"/>
  <c r="Y124" i="1" s="1"/>
  <c r="Q125" i="1"/>
  <c r="Q126" i="1"/>
  <c r="T126" i="1"/>
  <c r="Y126" i="1" s="1"/>
  <c r="Q127" i="1"/>
  <c r="Q128" i="1"/>
  <c r="T128" i="1"/>
  <c r="Y128" i="1" s="1"/>
  <c r="Q129" i="1"/>
  <c r="T129" i="1"/>
  <c r="Y129" i="1" s="1"/>
  <c r="Q130" i="1"/>
  <c r="T130" i="1"/>
  <c r="Y130" i="1" s="1"/>
  <c r="Q131" i="1"/>
  <c r="Q132" i="1"/>
  <c r="Q133" i="1"/>
  <c r="Q134" i="1"/>
  <c r="Q135" i="1"/>
  <c r="T135" i="1"/>
  <c r="Y135" i="1" s="1"/>
  <c r="Q136" i="1"/>
  <c r="T136" i="1"/>
  <c r="Y136" i="1" s="1"/>
  <c r="Q137" i="1"/>
  <c r="T137" i="1"/>
  <c r="Y137" i="1" s="1"/>
  <c r="Q138" i="1"/>
  <c r="T138" i="1"/>
  <c r="Y138" i="1" s="1"/>
  <c r="Q139" i="1"/>
  <c r="T139" i="1"/>
  <c r="Y139" i="1" s="1"/>
  <c r="Q140" i="1"/>
  <c r="Q141" i="1"/>
  <c r="T141" i="1"/>
  <c r="Y141" i="1" s="1"/>
  <c r="Q142" i="1"/>
  <c r="T142" i="1"/>
  <c r="Y142" i="1" s="1"/>
  <c r="Q143" i="1"/>
  <c r="Q144" i="1"/>
  <c r="T144" i="1"/>
  <c r="Y144" i="1" s="1"/>
  <c r="Q145" i="1"/>
  <c r="Q146" i="1"/>
  <c r="T146" i="1"/>
  <c r="Y146" i="1" s="1"/>
  <c r="Q147" i="1"/>
  <c r="T147" i="1"/>
  <c r="Y147" i="1" s="1"/>
  <c r="Q148" i="1"/>
  <c r="Q149" i="1"/>
  <c r="T149" i="1"/>
  <c r="Y149" i="1" s="1"/>
  <c r="Q150" i="1"/>
  <c r="Q151" i="1"/>
  <c r="Q152" i="1"/>
  <c r="T152" i="1"/>
  <c r="Y152" i="1" s="1"/>
  <c r="Q153" i="1"/>
  <c r="T153" i="1"/>
  <c r="Y153" i="1" s="1"/>
  <c r="Q154" i="1"/>
  <c r="Q155" i="1"/>
  <c r="T155" i="1"/>
  <c r="Y155" i="1" s="1"/>
  <c r="Q156" i="1"/>
  <c r="T156" i="1"/>
  <c r="Y156" i="1" s="1"/>
  <c r="T157" i="1"/>
  <c r="Q158" i="1"/>
  <c r="T158" i="1"/>
  <c r="Y158" i="1" s="1"/>
  <c r="Q159" i="1"/>
  <c r="T159" i="1"/>
  <c r="Y159" i="1" s="1"/>
  <c r="Q160" i="1"/>
  <c r="T160" i="1"/>
  <c r="Y160" i="1" s="1"/>
  <c r="Q161" i="1"/>
  <c r="T161" i="1"/>
  <c r="Y161" i="1" s="1"/>
  <c r="Q162" i="1"/>
  <c r="T162" i="1"/>
  <c r="Y162" i="1" s="1"/>
  <c r="Q163" i="1"/>
  <c r="Q164" i="1"/>
  <c r="T164" i="1"/>
  <c r="Y164" i="1" s="1"/>
  <c r="Q165" i="1"/>
  <c r="Q166" i="1"/>
  <c r="T166" i="1"/>
  <c r="Y166" i="1" s="1"/>
  <c r="Q167" i="1"/>
  <c r="T167" i="1"/>
  <c r="Y167" i="1" s="1"/>
  <c r="Q168" i="1"/>
  <c r="Q169" i="1"/>
  <c r="T169" i="1"/>
  <c r="Y169" i="1" s="1"/>
  <c r="Q170" i="1"/>
  <c r="T170" i="1"/>
  <c r="Y170" i="1" s="1"/>
  <c r="Q171" i="1"/>
  <c r="T171" i="1"/>
  <c r="Y171" i="1" s="1"/>
  <c r="Q172" i="1"/>
  <c r="Q173" i="1"/>
  <c r="T173" i="1"/>
  <c r="Y173" i="1" s="1"/>
  <c r="Q174" i="1"/>
  <c r="T174" i="1"/>
  <c r="Y174" i="1" s="1"/>
  <c r="Q175" i="1"/>
  <c r="Q176" i="1"/>
  <c r="Q177" i="1"/>
  <c r="T177" i="1"/>
  <c r="Y177" i="1" s="1"/>
  <c r="Q178" i="1"/>
  <c r="T178" i="1"/>
  <c r="Y178" i="1" s="1"/>
  <c r="Q179" i="1"/>
  <c r="T179" i="1"/>
  <c r="Y179" i="1" s="1"/>
  <c r="Q180" i="1"/>
  <c r="T180" i="1"/>
  <c r="Y180" i="1" s="1"/>
  <c r="Q181" i="1"/>
  <c r="Q182" i="1"/>
  <c r="T182" i="1"/>
  <c r="P187" i="1"/>
  <c r="S187" i="1"/>
  <c r="P193" i="1"/>
  <c r="S193" i="1"/>
  <c r="X193" i="1"/>
  <c r="P194" i="1"/>
  <c r="S194" i="1"/>
  <c r="P195" i="1"/>
  <c r="S195" i="1"/>
  <c r="P196" i="1"/>
  <c r="S196" i="1"/>
  <c r="P197" i="1"/>
  <c r="S197" i="1"/>
  <c r="P198" i="1"/>
  <c r="S198" i="1"/>
  <c r="P199" i="1"/>
  <c r="S199" i="1"/>
  <c r="P200" i="1"/>
  <c r="S200" i="1"/>
  <c r="P201" i="1"/>
  <c r="S201" i="1"/>
</calcChain>
</file>

<file path=xl/sharedStrings.xml><?xml version="1.0" encoding="utf-8"?>
<sst xmlns="http://schemas.openxmlformats.org/spreadsheetml/2006/main" count="761" uniqueCount="291">
  <si>
    <t/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</si>
  <si>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</si>
  <si>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</si>
  <si>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</si>
  <si>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</si>
  <si>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</si>
  <si>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</si>
  <si>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</si>
  <si>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</si>
  <si>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</si>
  <si>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</si>
  <si>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</si>
  <si>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</si>
  <si>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</si>
  <si>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</si>
  <si>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</si>
  <si>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</si>
  <si>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</si>
  <si>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</si>
  <si>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</si>
  <si>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</si>
  <si>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</si>
  <si>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</si>
  <si>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</si>
  <si>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</si>
  <si>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</si>
  <si>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</si>
  <si>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</si>
  <si>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</si>
  <si>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</si>
  <si>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</si>
  <si>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</si>
  <si>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</si>
  <si>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</si>
  <si>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</si>
  <si>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</si>
  <si>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10102140 01 0000 110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</si>
  <si>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</si>
  <si>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</si>
  <si>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</si>
  <si>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</si>
  <si>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</si>
  <si>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</si>
  <si>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</si>
  <si>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</si>
  <si>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</si>
  <si>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</si>
  <si>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</si>
  <si>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</si>
  <si>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</si>
  <si>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</si>
  <si>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</si>
  <si>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</si>
  <si>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</si>
  <si>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</si>
  <si>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</si>
  <si>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</si>
  <si>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</si>
  <si>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</si>
  <si>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</si>
  <si>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</si>
  <si>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</si>
  <si>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</si>
  <si>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</si>
  <si>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</si>
  <si>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</si>
  <si>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</si>
  <si>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</si>
  <si>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</si>
  <si>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</si>
  <si>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</si>
  <si>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</si>
  <si>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</si>
  <si>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</si>
  <si>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</si>
  <si>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</si>
  <si>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</si>
  <si>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</si>
  <si>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</si>
  <si>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</si>
  <si>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</si>
  <si>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</si>
  <si>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</si>
  <si>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</si>
  <si>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</si>
  <si>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</si>
  <si>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</si>
  <si>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</si>
  <si>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</si>
  <si>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</si>
  <si>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</si>
  <si>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ДОХОДЫ ОТ ОКАЗАНИЯ ПЛАТНЫХ УСЛУГ И КОМПЕНСАЦИИ ЗАТРАТ ГОСУДАРСТВА</t>
  </si>
  <si>
    <t>11300000 00 0000 000</t>
  </si>
  <si>
    <t>Доходы от компенсации затрат государства</t>
  </si>
  <si>
    <t>11302000 00 0000 130</t>
  </si>
  <si>
    <t>Прочие доходы от компенсации затрат государства</t>
  </si>
  <si>
    <t>11302990 00 0000 130</t>
  </si>
  <si>
    <t>Прочие доходы от компенсации затрат бюджетов сельских поселений</t>
  </si>
  <si>
    <t>11302995 10 0000 130</t>
  </si>
  <si>
    <t>ШТРАФЫ, САНКЦИИ, ВОЗМЕЩЕНИЕ УЩЕРБА</t>
  </si>
  <si>
    <t>11600000 00 0000 000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</si>
  <si>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</si>
  <si>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</si>
  <si>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</si>
  <si>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</si>
  <si>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</si>
  <si>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11607010 10 0000 140</t>
  </si>
  <si>
    <t>ПРОЧИЕ НЕНАЛОГОВЫЕ ДОХОДЫ</t>
  </si>
  <si>
    <t>11700000 00 0000 000</t>
  </si>
  <si>
    <t>Инициативные платежи</t>
  </si>
  <si>
    <t>11715000 00 0000 150</t>
  </si>
  <si>
    <t>Инициативные платежи, зачисляемые в бюджеты сельских поселений</t>
  </si>
  <si>
    <t>11715030 10 0000 150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</si>
  <si>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</si>
  <si>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</si>
  <si>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</si>
  <si>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</si>
  <si>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Дотации бюджетам бюджетной системы Российской Федерации</t>
  </si>
  <si>
    <t>20210000 00 0000 150</t>
  </si>
  <si>
    <t>Дотации на выравнивание бюджетной обеспеченности</t>
  </si>
  <si>
    <t>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</si>
  <si>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</si>
  <si>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20215001 10 0000 150</t>
  </si>
  <si>
    <t>Субвенции бюджетам бюджетной системы Российской Федерации</t>
  </si>
  <si>
    <t>20230000 00 0000 150</t>
  </si>
  <si>
    <t>Субвенции местным бюджетам на выполнение передаваемых полномочий субъектов Российской Федерации</t>
  </si>
  <si>
    <t>20230024 00 0000 150</t>
  </si>
  <si>
    <t>Субвенции бюджетам сельских поселений на выполнение передаваемых полномочий субъектов Российской Федерации</t>
  </si>
  <si>
    <t>20230024 10 0000 150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</si>
  <si>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</si>
  <si>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</si>
  <si>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</si>
  <si>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20235118 10 0000 150</t>
  </si>
  <si>
    <t>Иные межбюджетные трансферты</t>
  </si>
  <si>
    <t>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</si>
  <si>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</si>
  <si>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</si>
  <si>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</si>
  <si>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20240014 10 0000 150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</si>
  <si>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</si>
  <si>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</si>
  <si>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</si>
  <si>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20705000 10 0000 150</t>
  </si>
  <si>
    <t>20705030 10 0000 150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</si>
  <si>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</si>
  <si>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</si>
  <si>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</si>
  <si>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</si>
  <si>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</si>
  <si>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</si>
  <si>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</si>
  <si>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0102 5010000190 121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</si>
  <si>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</si>
  <si>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</si>
  <si>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</si>
  <si>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</si>
  <si>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0102 5010000190 129</t>
  </si>
  <si>
    <t>213</t>
  </si>
  <si>
    <t>0104 5110000190 121</t>
  </si>
  <si>
    <t>0104 5110000190 129</t>
  </si>
  <si>
    <t>Увеличение стоимости прочих материальных запасов</t>
  </si>
  <si>
    <t>0104 5120060190 244</t>
  </si>
  <si>
    <t>346</t>
  </si>
  <si>
    <t>Перечисления текущего характера другим бюджетам бюджетной системы Российской Федерации</t>
  </si>
  <si>
    <t>0104 6910020400 540</t>
  </si>
  <si>
    <t>251</t>
  </si>
  <si>
    <t>0106 6810020600 540</t>
  </si>
  <si>
    <t>0106 6820020600 540</t>
  </si>
  <si>
    <t>Иные выплаты текущего характера организациям</t>
  </si>
  <si>
    <t>0107 9910010050 880</t>
  </si>
  <si>
    <t>297</t>
  </si>
  <si>
    <t>Прочие работы, услуги</t>
  </si>
  <si>
    <t>0113 0110110030 244</t>
  </si>
  <si>
    <t>226</t>
  </si>
  <si>
    <t>Услуги связи</t>
  </si>
  <si>
    <t>0113 0120210030 244</t>
  </si>
  <si>
    <t>221</t>
  </si>
  <si>
    <t>Увеличение стоимости основных средств</t>
  </si>
  <si>
    <t>310</t>
  </si>
  <si>
    <t>0113 0120210140 244</t>
  </si>
  <si>
    <t>Коммунальные услуги</t>
  </si>
  <si>
    <t>0113 0130210030 244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</si>
  <si>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</si>
  <si>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</si>
  <si>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</si>
  <si>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</si>
  <si>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</si>
  <si>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0113 0130210030 247</t>
  </si>
  <si>
    <t>Налоги, пошлины и сборы</t>
  </si>
  <si>
    <t>0113 0130210030 851</t>
  </si>
  <si>
    <t>291</t>
  </si>
  <si>
    <t>0113 0130210030 852</t>
  </si>
  <si>
    <t>Штрафы за нарушение законодательства о налогах и сборах, законодательства о страховых взносах</t>
  </si>
  <si>
    <t>0113 0130210030 853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</si>
  <si>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</si>
  <si>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</si>
  <si>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</si>
  <si>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0113 0200110200 244</t>
  </si>
  <si>
    <t>Увеличение стоимости прочих материальных запасов однократного применения</t>
  </si>
  <si>
    <t>0113 0900110370 244</t>
  </si>
  <si>
    <t>349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</si>
  <si>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</si>
  <si>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0113 1000110040 633</t>
  </si>
  <si>
    <t>246</t>
  </si>
  <si>
    <t>0113 1000110060 360</t>
  </si>
  <si>
    <t>0203 5120051180 121</t>
  </si>
  <si>
    <t>0203 5120051180 129</t>
  </si>
  <si>
    <t>0310 0320210510 244</t>
  </si>
  <si>
    <t>0310 5410020500 540</t>
  </si>
  <si>
    <t>0314 0340410040 244</t>
  </si>
  <si>
    <t>0314 0340410120 244</t>
  </si>
  <si>
    <t>0314 0350510080 244</t>
  </si>
  <si>
    <t>0405 1300110520 244</t>
  </si>
  <si>
    <t>Транспортные услуги</t>
  </si>
  <si>
    <t>0409 0420210130 244</t>
  </si>
  <si>
    <t>222</t>
  </si>
  <si>
    <t>0412 0410110440 244</t>
  </si>
  <si>
    <t>0502 0600110470 244</t>
  </si>
  <si>
    <t>0502 0600110480 244</t>
  </si>
  <si>
    <t>0502 0600110480 414</t>
  </si>
  <si>
    <t>0502 0600110480 813</t>
  </si>
  <si>
    <t>0503 0500110630 244</t>
  </si>
  <si>
    <t>0503 0500110630 247</t>
  </si>
  <si>
    <t>0503 0500110650 244</t>
  </si>
  <si>
    <t>0503 0500110660 244</t>
  </si>
  <si>
    <t>0503 0500110670 244</t>
  </si>
  <si>
    <t>0503 0500111001 244</t>
  </si>
  <si>
    <t>0503 0500120700 244</t>
  </si>
  <si>
    <t>0503 1510110550 244</t>
  </si>
  <si>
    <t>0707 0700110280 244</t>
  </si>
  <si>
    <t>0801 0810100590 111</t>
  </si>
  <si>
    <t>Прочие несоциальные выплаты персоналу в денежной форме</t>
  </si>
  <si>
    <t>0801 0810100590 112</t>
  </si>
  <si>
    <t>212</t>
  </si>
  <si>
    <t>0801 0810100590 119</t>
  </si>
  <si>
    <t>0801 0810100590 244</t>
  </si>
  <si>
    <t>0801 0810100590 247</t>
  </si>
  <si>
    <t>0801 0810100590 853</t>
  </si>
  <si>
    <t>0801 0810109010 244</t>
  </si>
  <si>
    <t>0801 0820200590 111</t>
  </si>
  <si>
    <t>0801 0820200590 112</t>
  </si>
  <si>
    <t>0801 0820200590 119</t>
  </si>
  <si>
    <t>0801 0820200590 244</t>
  </si>
  <si>
    <t>0801 0820200590 853</t>
  </si>
  <si>
    <t>0801 0820209010 244</t>
  </si>
  <si>
    <t>0801 0830310090 244</t>
  </si>
  <si>
    <t>Пенсии, пособия, выплачиваемые работодателями, нанимателями бывшим работникам в денежной форме</t>
  </si>
  <si>
    <t>1001 1000210390 312</t>
  </si>
  <si>
    <t>264</t>
  </si>
  <si>
    <t>1102 1100110310 244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</si>
  <si>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</si>
  <si>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</si>
  <si>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</si>
  <si>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</si>
  <si>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</si>
  <si>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</si>
  <si>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</si>
  <si>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</si>
  <si>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</si>
  <si>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</si>
  <si>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</si>
  <si>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</si>
  <si>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</si>
  <si>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</si>
  <si>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>Увеличение остатков средств бюджетов</t>
  </si>
  <si>
    <t>710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</si>
  <si>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</si>
  <si>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</si>
  <si>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</si>
  <si>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</si>
  <si>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</si>
  <si>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</si>
  <si>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</si>
  <si>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</si>
  <si>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720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</si>
  <si>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</si>
  <si>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</si>
  <si>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</si>
  <si>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</si>
  <si>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</si>
  <si>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</si>
  <si>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</si>
  <si>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Утвержденные бюджетные назначения 2023 год</t>
  </si>
  <si>
    <t>Исполнено 2023 год</t>
  </si>
  <si>
    <t>Процент исполнения 2023 год</t>
  </si>
  <si>
    <t>ПРИЛОЖЕНИЕ</t>
  </si>
  <si>
    <t>к решению Совета</t>
  </si>
  <si>
    <t>Марьянского сельского поселения</t>
  </si>
  <si>
    <t>Красноармейского района</t>
  </si>
  <si>
    <t xml:space="preserve">от 21.06.2022 года № </t>
  </si>
  <si>
    <t>63/2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</si>
</sst>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NumberFormat="1"/>
    <xf numFmtId="0" fontId="2" fillId="2" borderId="0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0" fillId="0" borderId="0" xfId="0" applyBorder="1" applyAlignment="1"/>
    <xf numFmtId="0" fontId="4" fillId="2" borderId="0" xfId="0" applyNumberFormat="1" applyFont="1" applyFill="1" applyAlignment="1">
      <alignment horizont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right" vertical="center" wrapText="1"/>
    </xf>
    <xf numFmtId="4" fontId="2" fillId="2" borderId="33" xfId="0" applyNumberFormat="1" applyFont="1" applyFill="1" applyBorder="1" applyAlignment="1">
      <alignment horizontal="right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4" fontId="2" fillId="2" borderId="34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right" vertical="center" wrapText="1"/>
    </xf>
    <xf numFmtId="4" fontId="2" fillId="2" borderId="25" xfId="0" applyNumberFormat="1" applyFont="1" applyFill="1" applyBorder="1" applyAlignment="1">
      <alignment horizontal="right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right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4" fontId="2" fillId="2" borderId="27" xfId="0" applyNumberFormat="1" applyFont="1" applyFill="1" applyBorder="1" applyAlignment="1">
      <alignment horizontal="right" vertical="center" wrapText="1"/>
    </xf>
    <xf numFmtId="4" fontId="2" fillId="2" borderId="27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right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left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210"/>
  <sheetViews>
    <sheetView tabSelected="1" view="pageLayout" topLeftCell="A61" zoomScaleNormal="100" workbookViewId="0">
      <selection activeCell="A9" sqref="A9:Z9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3.28515625" style="1" customWidth="1"/>
    <col min="6" max="6" width="0.5703125" style="1" hidden="1" customWidth="1"/>
    <col min="7" max="7" width="1.7109375" style="1" hidden="1" customWidth="1"/>
    <col min="8" max="8" width="12.7109375" style="1" hidden="1" customWidth="1"/>
    <col min="9" max="9" width="1.7109375" style="1" hidden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3.2851562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1.4257812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4.1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8"/>
      <c r="U1" s="8" t="s">
        <v>285</v>
      </c>
      <c r="V1" s="8"/>
      <c r="W1" s="5"/>
      <c r="X1" s="5"/>
      <c r="Y1" s="5"/>
      <c r="Z1" s="3"/>
    </row>
    <row r="2" spans="1:26" s="1" customFormat="1" ht="14.1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8" t="s">
        <v>286</v>
      </c>
      <c r="V2" s="8"/>
      <c r="W2" s="6"/>
      <c r="X2" s="6"/>
      <c r="Y2" s="6"/>
      <c r="Z2" s="3"/>
    </row>
    <row r="3" spans="1:26" s="1" customFormat="1" ht="14.1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8"/>
      <c r="U3" s="8" t="s">
        <v>287</v>
      </c>
      <c r="V3" s="8"/>
      <c r="W3" s="6"/>
      <c r="X3" s="6"/>
      <c r="Y3" s="6"/>
      <c r="Z3" s="4"/>
    </row>
    <row r="4" spans="1:26" s="1" customFormat="1" ht="14.1" customHeight="1" x14ac:dyDescent="0.2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8" t="s">
        <v>288</v>
      </c>
      <c r="V4" s="8"/>
      <c r="W4" s="6"/>
      <c r="X4" s="6"/>
      <c r="Y4" s="6"/>
      <c r="Z4" s="3"/>
    </row>
    <row r="5" spans="1:26" s="1" customFormat="1" ht="14.1" customHeight="1" x14ac:dyDescent="0.2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8" t="s">
        <v>289</v>
      </c>
      <c r="V5" s="8"/>
      <c r="W5" s="6"/>
      <c r="X5" s="6"/>
      <c r="Y5" s="6"/>
      <c r="Z5" s="3" t="s">
        <v>290</v>
      </c>
    </row>
    <row r="6" spans="1:26" s="1" customFormat="1" ht="14.1" customHeight="1" x14ac:dyDescent="0.2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6"/>
      <c r="X6" s="6"/>
      <c r="Y6" s="6"/>
      <c r="Z6" s="3"/>
    </row>
    <row r="7" spans="1:26" s="1" customFormat="1" ht="14.1" customHeight="1" x14ac:dyDescent="0.2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3"/>
    </row>
    <row r="8" spans="1:26" s="1" customFormat="1" ht="14.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3"/>
    </row>
    <row r="9" spans="1:26" s="1" customFormat="1" ht="14.1" customHeight="1" thickBot="1" x14ac:dyDescent="0.25">
      <c r="A9" s="9" t="s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" customFormat="1" ht="35.1" customHeight="1" x14ac:dyDescent="0.2">
      <c r="A10" s="10" t="s">
        <v>2</v>
      </c>
      <c r="B10" s="10"/>
      <c r="C10" s="10"/>
      <c r="D10" s="10"/>
      <c r="E10" s="10"/>
      <c r="F10" s="10"/>
      <c r="G10" s="10"/>
      <c r="H10" s="10"/>
      <c r="I10" s="10"/>
      <c r="J10" s="10" t="s">
        <v>3</v>
      </c>
      <c r="K10" s="10"/>
      <c r="L10" s="10"/>
      <c r="M10" s="10" t="s">
        <v>4</v>
      </c>
      <c r="N10" s="10"/>
      <c r="O10" s="10"/>
      <c r="P10" s="11" t="s">
        <v>282</v>
      </c>
      <c r="Q10" s="11"/>
      <c r="R10" s="11"/>
      <c r="S10" s="11" t="s">
        <v>283</v>
      </c>
      <c r="T10" s="11"/>
      <c r="U10" s="11"/>
      <c r="V10" s="11"/>
      <c r="W10" s="11"/>
      <c r="X10" s="12" t="s">
        <v>284</v>
      </c>
      <c r="Y10" s="12"/>
      <c r="Z10" s="12"/>
    </row>
    <row r="11" spans="1:26" s="1" customFormat="1" ht="12.95" customHeight="1" thickBot="1" x14ac:dyDescent="0.25">
      <c r="A11" s="13" t="s">
        <v>8</v>
      </c>
      <c r="B11" s="13"/>
      <c r="C11" s="13"/>
      <c r="D11" s="13"/>
      <c r="E11" s="13"/>
      <c r="F11" s="13"/>
      <c r="G11" s="13"/>
      <c r="H11" s="13"/>
      <c r="I11" s="13"/>
      <c r="J11" s="13" t="s">
        <v>9</v>
      </c>
      <c r="K11" s="13"/>
      <c r="L11" s="13"/>
      <c r="M11" s="13" t="s">
        <v>10</v>
      </c>
      <c r="N11" s="13"/>
      <c r="O11" s="13"/>
      <c r="P11" s="14" t="s">
        <v>11</v>
      </c>
      <c r="Q11" s="14"/>
      <c r="R11" s="14"/>
      <c r="S11" s="14" t="s">
        <v>12</v>
      </c>
      <c r="T11" s="14"/>
      <c r="U11" s="14"/>
      <c r="V11" s="14"/>
      <c r="W11" s="14"/>
      <c r="X11" s="15" t="s">
        <v>13</v>
      </c>
      <c r="Y11" s="15"/>
      <c r="Z11" s="15"/>
    </row>
    <row r="12" spans="1:26" s="1" customFormat="1" ht="14.1" customHeight="1" thickBot="1" x14ac:dyDescent="0.25">
      <c r="A12" s="16" t="s">
        <v>14</v>
      </c>
      <c r="B12" s="16"/>
      <c r="C12" s="16"/>
      <c r="D12" s="16"/>
      <c r="E12" s="16"/>
      <c r="F12" s="16"/>
      <c r="G12" s="16"/>
      <c r="H12" s="16"/>
      <c r="I12" s="16"/>
      <c r="J12" s="17" t="s">
        <v>15</v>
      </c>
      <c r="K12" s="17"/>
      <c r="L12" s="17"/>
      <c r="M12" s="17" t="s">
        <v>16</v>
      </c>
      <c r="N12" s="17"/>
      <c r="O12" s="17"/>
      <c r="P12" s="18">
        <f>59968296</f>
        <v>59968296</v>
      </c>
      <c r="Q12" s="18"/>
      <c r="R12" s="18"/>
      <c r="S12" s="18">
        <f>16914370</f>
        <v>16914370</v>
      </c>
      <c r="T12" s="18"/>
      <c r="U12" s="18"/>
      <c r="V12" s="18"/>
      <c r="W12" s="18"/>
      <c r="X12" s="19">
        <f>S12/P12*100</f>
        <v>28.205520463679672</v>
      </c>
      <c r="Y12" s="19"/>
      <c r="Z12" s="19"/>
    </row>
    <row r="13" spans="1:26" s="1" customFormat="1" ht="14.1" customHeight="1" x14ac:dyDescent="0.2">
      <c r="A13" s="20" t="s">
        <v>17</v>
      </c>
      <c r="B13" s="20"/>
      <c r="C13" s="20"/>
      <c r="D13" s="20"/>
      <c r="E13" s="20"/>
      <c r="F13" s="20"/>
      <c r="G13" s="20"/>
      <c r="H13" s="20"/>
      <c r="I13" s="20"/>
      <c r="J13" s="21" t="s">
        <v>15</v>
      </c>
      <c r="K13" s="21"/>
      <c r="L13" s="21"/>
      <c r="M13" s="21" t="s">
        <v>18</v>
      </c>
      <c r="N13" s="21"/>
      <c r="O13" s="22"/>
      <c r="P13" s="23">
        <f>47025600</f>
        <v>47025600</v>
      </c>
      <c r="Q13" s="24"/>
      <c r="R13" s="24"/>
      <c r="S13" s="24">
        <f>10101926.12</f>
        <v>10101926.119999999</v>
      </c>
      <c r="T13" s="24"/>
      <c r="U13" s="24"/>
      <c r="V13" s="24"/>
      <c r="W13" s="24"/>
      <c r="X13" s="25">
        <f t="shared" ref="X13:X76" si="0">S13/P13*100</f>
        <v>21.481759126943619</v>
      </c>
      <c r="Y13" s="25"/>
      <c r="Z13" s="26"/>
    </row>
    <row r="14" spans="1:26" s="1" customFormat="1" ht="14.1" customHeight="1" x14ac:dyDescent="0.2">
      <c r="A14" s="20" t="s">
        <v>19</v>
      </c>
      <c r="B14" s="20"/>
      <c r="C14" s="20"/>
      <c r="D14" s="20"/>
      <c r="E14" s="20"/>
      <c r="F14" s="20"/>
      <c r="G14" s="20"/>
      <c r="H14" s="20"/>
      <c r="I14" s="20"/>
      <c r="J14" s="21" t="s">
        <v>15</v>
      </c>
      <c r="K14" s="21"/>
      <c r="L14" s="21"/>
      <c r="M14" s="21" t="s">
        <v>20</v>
      </c>
      <c r="N14" s="21"/>
      <c r="O14" s="22"/>
      <c r="P14" s="27">
        <f>28000000</f>
        <v>28000000</v>
      </c>
      <c r="Q14" s="28"/>
      <c r="R14" s="28"/>
      <c r="S14" s="28">
        <f>7249104.67</f>
        <v>7249104.6699999999</v>
      </c>
      <c r="T14" s="28"/>
      <c r="U14" s="28"/>
      <c r="V14" s="28"/>
      <c r="W14" s="28"/>
      <c r="X14" s="29">
        <f t="shared" si="0"/>
        <v>25.889659535714287</v>
      </c>
      <c r="Y14" s="29"/>
      <c r="Z14" s="30"/>
    </row>
    <row r="15" spans="1:26" s="1" customFormat="1" ht="14.1" customHeight="1" x14ac:dyDescent="0.2">
      <c r="A15" s="20" t="s">
        <v>21</v>
      </c>
      <c r="B15" s="20"/>
      <c r="C15" s="20"/>
      <c r="D15" s="20"/>
      <c r="E15" s="20"/>
      <c r="F15" s="20"/>
      <c r="G15" s="20"/>
      <c r="H15" s="20"/>
      <c r="I15" s="20"/>
      <c r="J15" s="21" t="s">
        <v>15</v>
      </c>
      <c r="K15" s="21"/>
      <c r="L15" s="21"/>
      <c r="M15" s="21" t="s">
        <v>22</v>
      </c>
      <c r="N15" s="21"/>
      <c r="O15" s="22"/>
      <c r="P15" s="27">
        <f>28000000</f>
        <v>28000000</v>
      </c>
      <c r="Q15" s="28"/>
      <c r="R15" s="28"/>
      <c r="S15" s="28">
        <f>7249104.67</f>
        <v>7249104.6699999999</v>
      </c>
      <c r="T15" s="28"/>
      <c r="U15" s="28"/>
      <c r="V15" s="28"/>
      <c r="W15" s="28"/>
      <c r="X15" s="29">
        <f t="shared" si="0"/>
        <v>25.889659535714287</v>
      </c>
      <c r="Y15" s="29"/>
      <c r="Z15" s="30"/>
    </row>
    <row r="16" spans="1:26" s="1" customFormat="1" ht="54.95" customHeight="1" x14ac:dyDescent="0.2">
      <c r="A16" s="20" t="s">
        <v>23</v>
      </c>
      <c r="B16" s="20"/>
      <c r="C16" s="20"/>
      <c r="D16" s="20"/>
      <c r="E16" s="20"/>
      <c r="F16" s="20"/>
      <c r="G16" s="20"/>
      <c r="H16" s="20"/>
      <c r="I16" s="20"/>
      <c r="J16" s="21" t="s">
        <v>15</v>
      </c>
      <c r="K16" s="21"/>
      <c r="L16" s="21"/>
      <c r="M16" s="21" t="s">
        <v>24</v>
      </c>
      <c r="N16" s="21"/>
      <c r="O16" s="22"/>
      <c r="P16" s="27">
        <f>24325000</f>
        <v>24325000</v>
      </c>
      <c r="Q16" s="28"/>
      <c r="R16" s="28"/>
      <c r="S16" s="28">
        <f>6763498.43</f>
        <v>6763498.4299999997</v>
      </c>
      <c r="T16" s="28"/>
      <c r="U16" s="28"/>
      <c r="V16" s="28"/>
      <c r="W16" s="28"/>
      <c r="X16" s="29">
        <f t="shared" si="0"/>
        <v>27.804721192189103</v>
      </c>
      <c r="Y16" s="29"/>
      <c r="Z16" s="30"/>
    </row>
    <row r="17" spans="1:26" s="1" customFormat="1" ht="66" customHeight="1" x14ac:dyDescent="0.2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15</v>
      </c>
      <c r="K17" s="21"/>
      <c r="L17" s="21"/>
      <c r="M17" s="21" t="s">
        <v>26</v>
      </c>
      <c r="N17" s="21"/>
      <c r="O17" s="22"/>
      <c r="P17" s="27">
        <f>60000</f>
        <v>60000</v>
      </c>
      <c r="Q17" s="28"/>
      <c r="R17" s="28"/>
      <c r="S17" s="28">
        <f>-115167.89</f>
        <v>-115167.89</v>
      </c>
      <c r="T17" s="28"/>
      <c r="U17" s="28"/>
      <c r="V17" s="28"/>
      <c r="W17" s="28"/>
      <c r="X17" s="29">
        <v>0</v>
      </c>
      <c r="Y17" s="29"/>
      <c r="Z17" s="30"/>
    </row>
    <row r="18" spans="1:26" s="1" customFormat="1" ht="24" customHeight="1" x14ac:dyDescent="0.2">
      <c r="A18" s="20" t="s">
        <v>27</v>
      </c>
      <c r="B18" s="20"/>
      <c r="C18" s="20"/>
      <c r="D18" s="20"/>
      <c r="E18" s="20"/>
      <c r="F18" s="20"/>
      <c r="G18" s="20"/>
      <c r="H18" s="20"/>
      <c r="I18" s="20"/>
      <c r="J18" s="21" t="s">
        <v>15</v>
      </c>
      <c r="K18" s="21"/>
      <c r="L18" s="21"/>
      <c r="M18" s="21" t="s">
        <v>28</v>
      </c>
      <c r="N18" s="21"/>
      <c r="O18" s="22"/>
      <c r="P18" s="27">
        <f>600000</f>
        <v>600000</v>
      </c>
      <c r="Q18" s="28"/>
      <c r="R18" s="28"/>
      <c r="S18" s="28">
        <f>-19190.06</f>
        <v>-19190.060000000001</v>
      </c>
      <c r="T18" s="28"/>
      <c r="U18" s="28"/>
      <c r="V18" s="28"/>
      <c r="W18" s="28"/>
      <c r="X18" s="29">
        <v>0</v>
      </c>
      <c r="Y18" s="29"/>
      <c r="Z18" s="30"/>
    </row>
    <row r="19" spans="1:26" s="1" customFormat="1" ht="54.95" customHeight="1" x14ac:dyDescent="0.2">
      <c r="A19" s="20" t="s">
        <v>29</v>
      </c>
      <c r="B19" s="20"/>
      <c r="C19" s="20"/>
      <c r="D19" s="20"/>
      <c r="E19" s="20"/>
      <c r="F19" s="20"/>
      <c r="G19" s="20"/>
      <c r="H19" s="20"/>
      <c r="I19" s="20"/>
      <c r="J19" s="21" t="s">
        <v>15</v>
      </c>
      <c r="K19" s="21"/>
      <c r="L19" s="21"/>
      <c r="M19" s="21" t="s">
        <v>30</v>
      </c>
      <c r="N19" s="21"/>
      <c r="O19" s="22"/>
      <c r="P19" s="27">
        <f>15000</f>
        <v>15000</v>
      </c>
      <c r="Q19" s="28"/>
      <c r="R19" s="28"/>
      <c r="S19" s="28">
        <f>3064.5</f>
        <v>3064.5</v>
      </c>
      <c r="T19" s="28"/>
      <c r="U19" s="28"/>
      <c r="V19" s="28"/>
      <c r="W19" s="28"/>
      <c r="X19" s="29">
        <f t="shared" si="0"/>
        <v>20.43</v>
      </c>
      <c r="Y19" s="29"/>
      <c r="Z19" s="30"/>
    </row>
    <row r="20" spans="1:26" s="1" customFormat="1" ht="75.95" customHeight="1" x14ac:dyDescent="0.2">
      <c r="A20" s="20" t="s">
        <v>31</v>
      </c>
      <c r="B20" s="20"/>
      <c r="C20" s="20"/>
      <c r="D20" s="20"/>
      <c r="E20" s="20"/>
      <c r="F20" s="20"/>
      <c r="G20" s="20"/>
      <c r="H20" s="20"/>
      <c r="I20" s="20"/>
      <c r="J20" s="21" t="s">
        <v>15</v>
      </c>
      <c r="K20" s="21"/>
      <c r="L20" s="21"/>
      <c r="M20" s="21" t="s">
        <v>32</v>
      </c>
      <c r="N20" s="21"/>
      <c r="O20" s="22"/>
      <c r="P20" s="27">
        <f>2000000</f>
        <v>2000000</v>
      </c>
      <c r="Q20" s="28"/>
      <c r="R20" s="28"/>
      <c r="S20" s="28">
        <f>47293.49</f>
        <v>47293.49</v>
      </c>
      <c r="T20" s="28"/>
      <c r="U20" s="28"/>
      <c r="V20" s="28"/>
      <c r="W20" s="28"/>
      <c r="X20" s="29">
        <f t="shared" si="0"/>
        <v>2.3646745</v>
      </c>
      <c r="Y20" s="29"/>
      <c r="Z20" s="30"/>
    </row>
    <row r="21" spans="1:26" s="1" customFormat="1" ht="33.950000000000003" customHeight="1" x14ac:dyDescent="0.2">
      <c r="A21" s="20" t="s">
        <v>33</v>
      </c>
      <c r="B21" s="20"/>
      <c r="C21" s="20"/>
      <c r="D21" s="20"/>
      <c r="E21" s="20"/>
      <c r="F21" s="20"/>
      <c r="G21" s="20"/>
      <c r="H21" s="20"/>
      <c r="I21" s="20"/>
      <c r="J21" s="21" t="s">
        <v>15</v>
      </c>
      <c r="K21" s="21"/>
      <c r="L21" s="21"/>
      <c r="M21" s="21" t="s">
        <v>34</v>
      </c>
      <c r="N21" s="21"/>
      <c r="O21" s="22"/>
      <c r="P21" s="27">
        <f>500000</f>
        <v>500000</v>
      </c>
      <c r="Q21" s="28"/>
      <c r="R21" s="28"/>
      <c r="S21" s="28">
        <f>218622.3</f>
        <v>218622.3</v>
      </c>
      <c r="T21" s="28"/>
      <c r="U21" s="28"/>
      <c r="V21" s="28"/>
      <c r="W21" s="28"/>
      <c r="X21" s="29">
        <f t="shared" si="0"/>
        <v>43.724460000000001</v>
      </c>
      <c r="Y21" s="29"/>
      <c r="Z21" s="30"/>
    </row>
    <row r="22" spans="1:26" s="1" customFormat="1" ht="33.950000000000003" customHeight="1" x14ac:dyDescent="0.2">
      <c r="A22" s="20" t="s">
        <v>35</v>
      </c>
      <c r="B22" s="20"/>
      <c r="C22" s="20"/>
      <c r="D22" s="20"/>
      <c r="E22" s="20"/>
      <c r="F22" s="20"/>
      <c r="G22" s="20"/>
      <c r="H22" s="20"/>
      <c r="I22" s="20"/>
      <c r="J22" s="21" t="s">
        <v>15</v>
      </c>
      <c r="K22" s="21"/>
      <c r="L22" s="21"/>
      <c r="M22" s="21" t="s">
        <v>36</v>
      </c>
      <c r="N22" s="21"/>
      <c r="O22" s="22"/>
      <c r="P22" s="27">
        <f>500000</f>
        <v>500000</v>
      </c>
      <c r="Q22" s="28"/>
      <c r="R22" s="28"/>
      <c r="S22" s="28">
        <f>350983.9</f>
        <v>350983.9</v>
      </c>
      <c r="T22" s="28"/>
      <c r="U22" s="28"/>
      <c r="V22" s="28"/>
      <c r="W22" s="28"/>
      <c r="X22" s="29">
        <f t="shared" si="0"/>
        <v>70.196780000000004</v>
      </c>
      <c r="Y22" s="29"/>
      <c r="Z22" s="30"/>
    </row>
    <row r="23" spans="1:26" s="1" customFormat="1" ht="24" customHeight="1" x14ac:dyDescent="0.2">
      <c r="A23" s="20" t="s">
        <v>37</v>
      </c>
      <c r="B23" s="20"/>
      <c r="C23" s="20"/>
      <c r="D23" s="20"/>
      <c r="E23" s="20"/>
      <c r="F23" s="20"/>
      <c r="G23" s="20"/>
      <c r="H23" s="20"/>
      <c r="I23" s="20"/>
      <c r="J23" s="21" t="s">
        <v>15</v>
      </c>
      <c r="K23" s="21"/>
      <c r="L23" s="21"/>
      <c r="M23" s="21" t="s">
        <v>38</v>
      </c>
      <c r="N23" s="21"/>
      <c r="O23" s="22"/>
      <c r="P23" s="27">
        <f>6529100</f>
        <v>6529100</v>
      </c>
      <c r="Q23" s="28"/>
      <c r="R23" s="28"/>
      <c r="S23" s="28">
        <f>1755387.21</f>
        <v>1755387.21</v>
      </c>
      <c r="T23" s="28"/>
      <c r="U23" s="28"/>
      <c r="V23" s="28"/>
      <c r="W23" s="28"/>
      <c r="X23" s="29">
        <f t="shared" si="0"/>
        <v>26.885592348103103</v>
      </c>
      <c r="Y23" s="29"/>
      <c r="Z23" s="30"/>
    </row>
    <row r="24" spans="1:26" s="1" customFormat="1" ht="24" customHeight="1" x14ac:dyDescent="0.2">
      <c r="A24" s="20" t="s">
        <v>39</v>
      </c>
      <c r="B24" s="20"/>
      <c r="C24" s="20"/>
      <c r="D24" s="20"/>
      <c r="E24" s="20"/>
      <c r="F24" s="20"/>
      <c r="G24" s="20"/>
      <c r="H24" s="20"/>
      <c r="I24" s="20"/>
      <c r="J24" s="21" t="s">
        <v>15</v>
      </c>
      <c r="K24" s="21"/>
      <c r="L24" s="21"/>
      <c r="M24" s="21" t="s">
        <v>40</v>
      </c>
      <c r="N24" s="21"/>
      <c r="O24" s="22"/>
      <c r="P24" s="27">
        <f>6529100</f>
        <v>6529100</v>
      </c>
      <c r="Q24" s="28"/>
      <c r="R24" s="28"/>
      <c r="S24" s="28">
        <f>1755387.21</f>
        <v>1755387.21</v>
      </c>
      <c r="T24" s="28"/>
      <c r="U24" s="28"/>
      <c r="V24" s="28"/>
      <c r="W24" s="28"/>
      <c r="X24" s="29">
        <f t="shared" si="0"/>
        <v>26.885592348103103</v>
      </c>
      <c r="Y24" s="29"/>
      <c r="Z24" s="30"/>
    </row>
    <row r="25" spans="1:26" s="1" customFormat="1" ht="45" customHeight="1" x14ac:dyDescent="0.2">
      <c r="A25" s="20" t="s">
        <v>41</v>
      </c>
      <c r="B25" s="20"/>
      <c r="C25" s="20"/>
      <c r="D25" s="20"/>
      <c r="E25" s="20"/>
      <c r="F25" s="20"/>
      <c r="G25" s="20"/>
      <c r="H25" s="20"/>
      <c r="I25" s="20"/>
      <c r="J25" s="21" t="s">
        <v>15</v>
      </c>
      <c r="K25" s="21"/>
      <c r="L25" s="21"/>
      <c r="M25" s="21" t="s">
        <v>42</v>
      </c>
      <c r="N25" s="21"/>
      <c r="O25" s="22"/>
      <c r="P25" s="27">
        <f>3500000</f>
        <v>3500000</v>
      </c>
      <c r="Q25" s="28"/>
      <c r="R25" s="28"/>
      <c r="S25" s="28">
        <f>902408.89</f>
        <v>902408.89</v>
      </c>
      <c r="T25" s="28"/>
      <c r="U25" s="28"/>
      <c r="V25" s="28"/>
      <c r="W25" s="28"/>
      <c r="X25" s="29">
        <f t="shared" si="0"/>
        <v>25.783111142857145</v>
      </c>
      <c r="Y25" s="29"/>
      <c r="Z25" s="30"/>
    </row>
    <row r="26" spans="1:26" s="1" customFormat="1" ht="66" customHeight="1" x14ac:dyDescent="0.2">
      <c r="A26" s="20" t="s">
        <v>43</v>
      </c>
      <c r="B26" s="20"/>
      <c r="C26" s="20"/>
      <c r="D26" s="20"/>
      <c r="E26" s="20"/>
      <c r="F26" s="20"/>
      <c r="G26" s="20"/>
      <c r="H26" s="20"/>
      <c r="I26" s="20"/>
      <c r="J26" s="21" t="s">
        <v>15</v>
      </c>
      <c r="K26" s="21"/>
      <c r="L26" s="21"/>
      <c r="M26" s="21" t="s">
        <v>44</v>
      </c>
      <c r="N26" s="21"/>
      <c r="O26" s="22"/>
      <c r="P26" s="27">
        <f>3500000</f>
        <v>3500000</v>
      </c>
      <c r="Q26" s="28"/>
      <c r="R26" s="28"/>
      <c r="S26" s="28">
        <f>902408.89</f>
        <v>902408.89</v>
      </c>
      <c r="T26" s="28"/>
      <c r="U26" s="28"/>
      <c r="V26" s="28"/>
      <c r="W26" s="28"/>
      <c r="X26" s="29">
        <f t="shared" si="0"/>
        <v>25.783111142857145</v>
      </c>
      <c r="Y26" s="29"/>
      <c r="Z26" s="30"/>
    </row>
    <row r="27" spans="1:26" s="1" customFormat="1" ht="54.95" customHeight="1" x14ac:dyDescent="0.2">
      <c r="A27" s="20" t="s">
        <v>45</v>
      </c>
      <c r="B27" s="20"/>
      <c r="C27" s="20"/>
      <c r="D27" s="20"/>
      <c r="E27" s="20"/>
      <c r="F27" s="20"/>
      <c r="G27" s="20"/>
      <c r="H27" s="20"/>
      <c r="I27" s="20"/>
      <c r="J27" s="21" t="s">
        <v>15</v>
      </c>
      <c r="K27" s="21"/>
      <c r="L27" s="21"/>
      <c r="M27" s="21" t="s">
        <v>46</v>
      </c>
      <c r="N27" s="21"/>
      <c r="O27" s="22"/>
      <c r="P27" s="27">
        <f>100000</f>
        <v>100000</v>
      </c>
      <c r="Q27" s="28"/>
      <c r="R27" s="28"/>
      <c r="S27" s="28">
        <f>3703.63</f>
        <v>3703.63</v>
      </c>
      <c r="T27" s="28"/>
      <c r="U27" s="28"/>
      <c r="V27" s="28"/>
      <c r="W27" s="28"/>
      <c r="X27" s="29">
        <f t="shared" si="0"/>
        <v>3.70363</v>
      </c>
      <c r="Y27" s="29"/>
      <c r="Z27" s="30"/>
    </row>
    <row r="28" spans="1:26" s="1" customFormat="1" ht="75.95" customHeight="1" x14ac:dyDescent="0.2">
      <c r="A28" s="20" t="s">
        <v>47</v>
      </c>
      <c r="B28" s="20"/>
      <c r="C28" s="20"/>
      <c r="D28" s="20"/>
      <c r="E28" s="20"/>
      <c r="F28" s="20"/>
      <c r="G28" s="20"/>
      <c r="H28" s="20"/>
      <c r="I28" s="20"/>
      <c r="J28" s="21" t="s">
        <v>15</v>
      </c>
      <c r="K28" s="21"/>
      <c r="L28" s="21"/>
      <c r="M28" s="21" t="s">
        <v>48</v>
      </c>
      <c r="N28" s="21"/>
      <c r="O28" s="22"/>
      <c r="P28" s="27">
        <f>100000</f>
        <v>100000</v>
      </c>
      <c r="Q28" s="28"/>
      <c r="R28" s="28"/>
      <c r="S28" s="28">
        <f>3703.63</f>
        <v>3703.63</v>
      </c>
      <c r="T28" s="28"/>
      <c r="U28" s="28"/>
      <c r="V28" s="28"/>
      <c r="W28" s="28"/>
      <c r="X28" s="29">
        <f t="shared" si="0"/>
        <v>3.70363</v>
      </c>
      <c r="Y28" s="29"/>
      <c r="Z28" s="30"/>
    </row>
    <row r="29" spans="1:26" s="1" customFormat="1" ht="45" customHeight="1" x14ac:dyDescent="0.2">
      <c r="A29" s="20" t="s">
        <v>49</v>
      </c>
      <c r="B29" s="20"/>
      <c r="C29" s="20"/>
      <c r="D29" s="20"/>
      <c r="E29" s="20"/>
      <c r="F29" s="20"/>
      <c r="G29" s="20"/>
      <c r="H29" s="20"/>
      <c r="I29" s="20"/>
      <c r="J29" s="21" t="s">
        <v>15</v>
      </c>
      <c r="K29" s="21"/>
      <c r="L29" s="21"/>
      <c r="M29" s="21" t="s">
        <v>50</v>
      </c>
      <c r="N29" s="21"/>
      <c r="O29" s="22"/>
      <c r="P29" s="27">
        <f>2929100</f>
        <v>2929100</v>
      </c>
      <c r="Q29" s="28"/>
      <c r="R29" s="28"/>
      <c r="S29" s="28">
        <f>964913.72</f>
        <v>964913.72</v>
      </c>
      <c r="T29" s="28"/>
      <c r="U29" s="28"/>
      <c r="V29" s="28"/>
      <c r="W29" s="28"/>
      <c r="X29" s="29">
        <f t="shared" si="0"/>
        <v>32.942327677443586</v>
      </c>
      <c r="Y29" s="29"/>
      <c r="Z29" s="30"/>
    </row>
    <row r="30" spans="1:26" s="1" customFormat="1" ht="66" customHeight="1" x14ac:dyDescent="0.2">
      <c r="A30" s="20" t="s">
        <v>51</v>
      </c>
      <c r="B30" s="20"/>
      <c r="C30" s="20"/>
      <c r="D30" s="20"/>
      <c r="E30" s="20"/>
      <c r="F30" s="20"/>
      <c r="G30" s="20"/>
      <c r="H30" s="20"/>
      <c r="I30" s="20"/>
      <c r="J30" s="21" t="s">
        <v>15</v>
      </c>
      <c r="K30" s="21"/>
      <c r="L30" s="21"/>
      <c r="M30" s="21" t="s">
        <v>52</v>
      </c>
      <c r="N30" s="21"/>
      <c r="O30" s="22"/>
      <c r="P30" s="27">
        <f>2929100</f>
        <v>2929100</v>
      </c>
      <c r="Q30" s="28"/>
      <c r="R30" s="28"/>
      <c r="S30" s="28">
        <f>964913.72</f>
        <v>964913.72</v>
      </c>
      <c r="T30" s="28"/>
      <c r="U30" s="28"/>
      <c r="V30" s="28"/>
      <c r="W30" s="28"/>
      <c r="X30" s="29">
        <f t="shared" si="0"/>
        <v>32.942327677443586</v>
      </c>
      <c r="Y30" s="29"/>
      <c r="Z30" s="30"/>
    </row>
    <row r="31" spans="1:26" s="1" customFormat="1" ht="45" customHeight="1" x14ac:dyDescent="0.2">
      <c r="A31" s="20" t="s">
        <v>53</v>
      </c>
      <c r="B31" s="20"/>
      <c r="C31" s="20"/>
      <c r="D31" s="20"/>
      <c r="E31" s="20"/>
      <c r="F31" s="20"/>
      <c r="G31" s="20"/>
      <c r="H31" s="20"/>
      <c r="I31" s="20"/>
      <c r="J31" s="21" t="s">
        <v>15</v>
      </c>
      <c r="K31" s="21"/>
      <c r="L31" s="21"/>
      <c r="M31" s="21" t="s">
        <v>54</v>
      </c>
      <c r="N31" s="21"/>
      <c r="O31" s="22"/>
      <c r="P31" s="31" t="s">
        <v>55</v>
      </c>
      <c r="Q31" s="32"/>
      <c r="R31" s="32"/>
      <c r="S31" s="28">
        <f>-115639.03</f>
        <v>-115639.03</v>
      </c>
      <c r="T31" s="28"/>
      <c r="U31" s="28"/>
      <c r="V31" s="28"/>
      <c r="W31" s="28"/>
      <c r="X31" s="29">
        <v>0</v>
      </c>
      <c r="Y31" s="29"/>
      <c r="Z31" s="30"/>
    </row>
    <row r="32" spans="1:26" s="1" customFormat="1" ht="66" customHeight="1" x14ac:dyDescent="0.2">
      <c r="A32" s="20" t="s">
        <v>56</v>
      </c>
      <c r="B32" s="20"/>
      <c r="C32" s="20"/>
      <c r="D32" s="20"/>
      <c r="E32" s="20"/>
      <c r="F32" s="20"/>
      <c r="G32" s="20"/>
      <c r="H32" s="20"/>
      <c r="I32" s="20"/>
      <c r="J32" s="21" t="s">
        <v>15</v>
      </c>
      <c r="K32" s="21"/>
      <c r="L32" s="21"/>
      <c r="M32" s="21" t="s">
        <v>57</v>
      </c>
      <c r="N32" s="21"/>
      <c r="O32" s="22"/>
      <c r="P32" s="31" t="s">
        <v>55</v>
      </c>
      <c r="Q32" s="32"/>
      <c r="R32" s="32"/>
      <c r="S32" s="28">
        <f>-115639.03</f>
        <v>-115639.03</v>
      </c>
      <c r="T32" s="28"/>
      <c r="U32" s="28"/>
      <c r="V32" s="28"/>
      <c r="W32" s="28"/>
      <c r="X32" s="29">
        <v>0</v>
      </c>
      <c r="Y32" s="29"/>
      <c r="Z32" s="30"/>
    </row>
    <row r="33" spans="1:26" s="1" customFormat="1" ht="14.1" customHeight="1" x14ac:dyDescent="0.2">
      <c r="A33" s="20" t="s">
        <v>58</v>
      </c>
      <c r="B33" s="20"/>
      <c r="C33" s="20"/>
      <c r="D33" s="20"/>
      <c r="E33" s="20"/>
      <c r="F33" s="20"/>
      <c r="G33" s="20"/>
      <c r="H33" s="20"/>
      <c r="I33" s="20"/>
      <c r="J33" s="21" t="s">
        <v>15</v>
      </c>
      <c r="K33" s="21"/>
      <c r="L33" s="21"/>
      <c r="M33" s="21" t="s">
        <v>59</v>
      </c>
      <c r="N33" s="21"/>
      <c r="O33" s="22"/>
      <c r="P33" s="27">
        <f>76500</f>
        <v>76500</v>
      </c>
      <c r="Q33" s="28"/>
      <c r="R33" s="28"/>
      <c r="S33" s="28">
        <f>183136.11</f>
        <v>183136.11</v>
      </c>
      <c r="T33" s="28"/>
      <c r="U33" s="28"/>
      <c r="V33" s="28"/>
      <c r="W33" s="28"/>
      <c r="X33" s="29">
        <f t="shared" si="0"/>
        <v>239.39360784313726</v>
      </c>
      <c r="Y33" s="29"/>
      <c r="Z33" s="30"/>
    </row>
    <row r="34" spans="1:26" s="1" customFormat="1" ht="14.1" customHeight="1" x14ac:dyDescent="0.2">
      <c r="A34" s="20" t="s">
        <v>60</v>
      </c>
      <c r="B34" s="20"/>
      <c r="C34" s="20"/>
      <c r="D34" s="20"/>
      <c r="E34" s="20"/>
      <c r="F34" s="20"/>
      <c r="G34" s="20"/>
      <c r="H34" s="20"/>
      <c r="I34" s="20"/>
      <c r="J34" s="21" t="s">
        <v>15</v>
      </c>
      <c r="K34" s="21"/>
      <c r="L34" s="21"/>
      <c r="M34" s="21" t="s">
        <v>61</v>
      </c>
      <c r="N34" s="21"/>
      <c r="O34" s="22"/>
      <c r="P34" s="27">
        <f>76500</f>
        <v>76500</v>
      </c>
      <c r="Q34" s="28"/>
      <c r="R34" s="28"/>
      <c r="S34" s="28">
        <f>183136.11</f>
        <v>183136.11</v>
      </c>
      <c r="T34" s="28"/>
      <c r="U34" s="28"/>
      <c r="V34" s="28"/>
      <c r="W34" s="28"/>
      <c r="X34" s="29">
        <f t="shared" si="0"/>
        <v>239.39360784313726</v>
      </c>
      <c r="Y34" s="29"/>
      <c r="Z34" s="30"/>
    </row>
    <row r="35" spans="1:26" s="1" customFormat="1" ht="14.1" customHeight="1" x14ac:dyDescent="0.2">
      <c r="A35" s="20" t="s">
        <v>60</v>
      </c>
      <c r="B35" s="20"/>
      <c r="C35" s="20"/>
      <c r="D35" s="20"/>
      <c r="E35" s="20"/>
      <c r="F35" s="20"/>
      <c r="G35" s="20"/>
      <c r="H35" s="20"/>
      <c r="I35" s="20"/>
      <c r="J35" s="21" t="s">
        <v>15</v>
      </c>
      <c r="K35" s="21"/>
      <c r="L35" s="21"/>
      <c r="M35" s="21" t="s">
        <v>62</v>
      </c>
      <c r="N35" s="21"/>
      <c r="O35" s="22"/>
      <c r="P35" s="27">
        <f>76500</f>
        <v>76500</v>
      </c>
      <c r="Q35" s="28"/>
      <c r="R35" s="28"/>
      <c r="S35" s="28">
        <f>183136.11</f>
        <v>183136.11</v>
      </c>
      <c r="T35" s="28"/>
      <c r="U35" s="28"/>
      <c r="V35" s="28"/>
      <c r="W35" s="28"/>
      <c r="X35" s="29">
        <f t="shared" si="0"/>
        <v>239.39360784313726</v>
      </c>
      <c r="Y35" s="29"/>
      <c r="Z35" s="30"/>
    </row>
    <row r="36" spans="1:26" s="1" customFormat="1" ht="14.1" customHeight="1" x14ac:dyDescent="0.2">
      <c r="A36" s="20" t="s">
        <v>63</v>
      </c>
      <c r="B36" s="20"/>
      <c r="C36" s="20"/>
      <c r="D36" s="20"/>
      <c r="E36" s="20"/>
      <c r="F36" s="20"/>
      <c r="G36" s="20"/>
      <c r="H36" s="20"/>
      <c r="I36" s="20"/>
      <c r="J36" s="21" t="s">
        <v>15</v>
      </c>
      <c r="K36" s="21"/>
      <c r="L36" s="21"/>
      <c r="M36" s="21" t="s">
        <v>64</v>
      </c>
      <c r="N36" s="21"/>
      <c r="O36" s="22"/>
      <c r="P36" s="27">
        <f>12200000</f>
        <v>12200000</v>
      </c>
      <c r="Q36" s="28"/>
      <c r="R36" s="28"/>
      <c r="S36" s="28">
        <f>792537.54</f>
        <v>792537.54</v>
      </c>
      <c r="T36" s="28"/>
      <c r="U36" s="28"/>
      <c r="V36" s="28"/>
      <c r="W36" s="28"/>
      <c r="X36" s="29">
        <f t="shared" si="0"/>
        <v>6.4962093442622955</v>
      </c>
      <c r="Y36" s="29"/>
      <c r="Z36" s="30"/>
    </row>
    <row r="37" spans="1:26" s="1" customFormat="1" ht="14.1" customHeight="1" x14ac:dyDescent="0.2">
      <c r="A37" s="20" t="s">
        <v>65</v>
      </c>
      <c r="B37" s="20"/>
      <c r="C37" s="20"/>
      <c r="D37" s="20"/>
      <c r="E37" s="20"/>
      <c r="F37" s="20"/>
      <c r="G37" s="20"/>
      <c r="H37" s="20"/>
      <c r="I37" s="20"/>
      <c r="J37" s="21" t="s">
        <v>15</v>
      </c>
      <c r="K37" s="21"/>
      <c r="L37" s="21"/>
      <c r="M37" s="21" t="s">
        <v>66</v>
      </c>
      <c r="N37" s="21"/>
      <c r="O37" s="22"/>
      <c r="P37" s="27">
        <f>6300000</f>
        <v>6300000</v>
      </c>
      <c r="Q37" s="28"/>
      <c r="R37" s="28"/>
      <c r="S37" s="28">
        <f>329576.03</f>
        <v>329576.03000000003</v>
      </c>
      <c r="T37" s="28"/>
      <c r="U37" s="28"/>
      <c r="V37" s="28"/>
      <c r="W37" s="28"/>
      <c r="X37" s="29">
        <f t="shared" si="0"/>
        <v>5.2313655555555556</v>
      </c>
      <c r="Y37" s="29"/>
      <c r="Z37" s="30"/>
    </row>
    <row r="38" spans="1:26" s="1" customFormat="1" ht="24" customHeight="1" x14ac:dyDescent="0.2">
      <c r="A38" s="20" t="s">
        <v>67</v>
      </c>
      <c r="B38" s="20"/>
      <c r="C38" s="20"/>
      <c r="D38" s="20"/>
      <c r="E38" s="20"/>
      <c r="F38" s="20"/>
      <c r="G38" s="20"/>
      <c r="H38" s="20"/>
      <c r="I38" s="20"/>
      <c r="J38" s="21" t="s">
        <v>15</v>
      </c>
      <c r="K38" s="21"/>
      <c r="L38" s="21"/>
      <c r="M38" s="21" t="s">
        <v>68</v>
      </c>
      <c r="N38" s="21"/>
      <c r="O38" s="22"/>
      <c r="P38" s="27">
        <f>6300000</f>
        <v>6300000</v>
      </c>
      <c r="Q38" s="28"/>
      <c r="R38" s="28"/>
      <c r="S38" s="28">
        <f>329576.03</f>
        <v>329576.03000000003</v>
      </c>
      <c r="T38" s="28"/>
      <c r="U38" s="28"/>
      <c r="V38" s="28"/>
      <c r="W38" s="28"/>
      <c r="X38" s="29">
        <f t="shared" si="0"/>
        <v>5.2313655555555556</v>
      </c>
      <c r="Y38" s="29"/>
      <c r="Z38" s="30"/>
    </row>
    <row r="39" spans="1:26" s="1" customFormat="1" ht="14.1" customHeight="1" x14ac:dyDescent="0.2">
      <c r="A39" s="20" t="s">
        <v>69</v>
      </c>
      <c r="B39" s="20"/>
      <c r="C39" s="20"/>
      <c r="D39" s="20"/>
      <c r="E39" s="20"/>
      <c r="F39" s="20"/>
      <c r="G39" s="20"/>
      <c r="H39" s="20"/>
      <c r="I39" s="20"/>
      <c r="J39" s="21" t="s">
        <v>15</v>
      </c>
      <c r="K39" s="21"/>
      <c r="L39" s="21"/>
      <c r="M39" s="21" t="s">
        <v>70</v>
      </c>
      <c r="N39" s="21"/>
      <c r="O39" s="22"/>
      <c r="P39" s="27">
        <f>5900000</f>
        <v>5900000</v>
      </c>
      <c r="Q39" s="28"/>
      <c r="R39" s="28"/>
      <c r="S39" s="28">
        <f>462961.51</f>
        <v>462961.51</v>
      </c>
      <c r="T39" s="28"/>
      <c r="U39" s="28"/>
      <c r="V39" s="28"/>
      <c r="W39" s="28"/>
      <c r="X39" s="29">
        <f t="shared" si="0"/>
        <v>7.8468052542372879</v>
      </c>
      <c r="Y39" s="29"/>
      <c r="Z39" s="30"/>
    </row>
    <row r="40" spans="1:26" s="1" customFormat="1" ht="14.1" customHeight="1" x14ac:dyDescent="0.2">
      <c r="A40" s="20" t="s">
        <v>71</v>
      </c>
      <c r="B40" s="20"/>
      <c r="C40" s="20"/>
      <c r="D40" s="20"/>
      <c r="E40" s="20"/>
      <c r="F40" s="20"/>
      <c r="G40" s="20"/>
      <c r="H40" s="20"/>
      <c r="I40" s="20"/>
      <c r="J40" s="21" t="s">
        <v>15</v>
      </c>
      <c r="K40" s="21"/>
      <c r="L40" s="21"/>
      <c r="M40" s="21" t="s">
        <v>72</v>
      </c>
      <c r="N40" s="21"/>
      <c r="O40" s="22"/>
      <c r="P40" s="27">
        <f>2300000</f>
        <v>2300000</v>
      </c>
      <c r="Q40" s="28"/>
      <c r="R40" s="28"/>
      <c r="S40" s="28">
        <f>508637.92</f>
        <v>508637.92</v>
      </c>
      <c r="T40" s="28"/>
      <c r="U40" s="28"/>
      <c r="V40" s="28"/>
      <c r="W40" s="28"/>
      <c r="X40" s="29">
        <f t="shared" si="0"/>
        <v>22.114692173913042</v>
      </c>
      <c r="Y40" s="29"/>
      <c r="Z40" s="30"/>
    </row>
    <row r="41" spans="1:26" s="1" customFormat="1" ht="24" customHeight="1" x14ac:dyDescent="0.2">
      <c r="A41" s="20" t="s">
        <v>73</v>
      </c>
      <c r="B41" s="20"/>
      <c r="C41" s="20"/>
      <c r="D41" s="20"/>
      <c r="E41" s="20"/>
      <c r="F41" s="20"/>
      <c r="G41" s="20"/>
      <c r="H41" s="20"/>
      <c r="I41" s="20"/>
      <c r="J41" s="21" t="s">
        <v>15</v>
      </c>
      <c r="K41" s="21"/>
      <c r="L41" s="21"/>
      <c r="M41" s="21" t="s">
        <v>74</v>
      </c>
      <c r="N41" s="21"/>
      <c r="O41" s="22"/>
      <c r="P41" s="27">
        <f>2300000</f>
        <v>2300000</v>
      </c>
      <c r="Q41" s="28"/>
      <c r="R41" s="28"/>
      <c r="S41" s="28">
        <f>508637.92</f>
        <v>508637.92</v>
      </c>
      <c r="T41" s="28"/>
      <c r="U41" s="28"/>
      <c r="V41" s="28"/>
      <c r="W41" s="28"/>
      <c r="X41" s="29">
        <f t="shared" si="0"/>
        <v>22.114692173913042</v>
      </c>
      <c r="Y41" s="29"/>
      <c r="Z41" s="30"/>
    </row>
    <row r="42" spans="1:26" s="1" customFormat="1" ht="14.1" customHeight="1" x14ac:dyDescent="0.2">
      <c r="A42" s="20" t="s">
        <v>75</v>
      </c>
      <c r="B42" s="20"/>
      <c r="C42" s="20"/>
      <c r="D42" s="20"/>
      <c r="E42" s="20"/>
      <c r="F42" s="20"/>
      <c r="G42" s="20"/>
      <c r="H42" s="20"/>
      <c r="I42" s="20"/>
      <c r="J42" s="21" t="s">
        <v>15</v>
      </c>
      <c r="K42" s="21"/>
      <c r="L42" s="21"/>
      <c r="M42" s="21" t="s">
        <v>76</v>
      </c>
      <c r="N42" s="21"/>
      <c r="O42" s="22"/>
      <c r="P42" s="27">
        <f>3600000</f>
        <v>3600000</v>
      </c>
      <c r="Q42" s="28"/>
      <c r="R42" s="28"/>
      <c r="S42" s="28">
        <f>-45676.41</f>
        <v>-45676.41</v>
      </c>
      <c r="T42" s="28"/>
      <c r="U42" s="28"/>
      <c r="V42" s="28"/>
      <c r="W42" s="28"/>
      <c r="X42" s="29">
        <f t="shared" si="0"/>
        <v>-1.2687891666666669</v>
      </c>
      <c r="Y42" s="29"/>
      <c r="Z42" s="30"/>
    </row>
    <row r="43" spans="1:26" s="1" customFormat="1" ht="24" customHeight="1" x14ac:dyDescent="0.2">
      <c r="A43" s="20" t="s">
        <v>77</v>
      </c>
      <c r="B43" s="20"/>
      <c r="C43" s="20"/>
      <c r="D43" s="20"/>
      <c r="E43" s="20"/>
      <c r="F43" s="20"/>
      <c r="G43" s="20"/>
      <c r="H43" s="20"/>
      <c r="I43" s="20"/>
      <c r="J43" s="21" t="s">
        <v>15</v>
      </c>
      <c r="K43" s="21"/>
      <c r="L43" s="21"/>
      <c r="M43" s="21" t="s">
        <v>78</v>
      </c>
      <c r="N43" s="21"/>
      <c r="O43" s="22"/>
      <c r="P43" s="27">
        <f>3600000</f>
        <v>3600000</v>
      </c>
      <c r="Q43" s="28"/>
      <c r="R43" s="28"/>
      <c r="S43" s="28">
        <f>-45676.41</f>
        <v>-45676.41</v>
      </c>
      <c r="T43" s="28"/>
      <c r="U43" s="28"/>
      <c r="V43" s="28"/>
      <c r="W43" s="28"/>
      <c r="X43" s="29">
        <f t="shared" si="0"/>
        <v>-1.2687891666666669</v>
      </c>
      <c r="Y43" s="29"/>
      <c r="Z43" s="30"/>
    </row>
    <row r="44" spans="1:26" s="1" customFormat="1" ht="24" customHeight="1" x14ac:dyDescent="0.2">
      <c r="A44" s="20" t="s">
        <v>79</v>
      </c>
      <c r="B44" s="20"/>
      <c r="C44" s="20"/>
      <c r="D44" s="20"/>
      <c r="E44" s="20"/>
      <c r="F44" s="20"/>
      <c r="G44" s="20"/>
      <c r="H44" s="20"/>
      <c r="I44" s="20"/>
      <c r="J44" s="21" t="s">
        <v>15</v>
      </c>
      <c r="K44" s="21"/>
      <c r="L44" s="21"/>
      <c r="M44" s="21" t="s">
        <v>80</v>
      </c>
      <c r="N44" s="21"/>
      <c r="O44" s="22"/>
      <c r="P44" s="27">
        <f>185000</f>
        <v>185000</v>
      </c>
      <c r="Q44" s="28"/>
      <c r="R44" s="28"/>
      <c r="S44" s="28">
        <f>77612.3</f>
        <v>77612.3</v>
      </c>
      <c r="T44" s="28"/>
      <c r="U44" s="28"/>
      <c r="V44" s="28"/>
      <c r="W44" s="28"/>
      <c r="X44" s="29">
        <f t="shared" si="0"/>
        <v>41.952594594594594</v>
      </c>
      <c r="Y44" s="29"/>
      <c r="Z44" s="30"/>
    </row>
    <row r="45" spans="1:26" s="1" customFormat="1" ht="54.95" customHeight="1" x14ac:dyDescent="0.2">
      <c r="A45" s="20" t="s">
        <v>81</v>
      </c>
      <c r="B45" s="20"/>
      <c r="C45" s="20"/>
      <c r="D45" s="20"/>
      <c r="E45" s="20"/>
      <c r="F45" s="20"/>
      <c r="G45" s="20"/>
      <c r="H45" s="20"/>
      <c r="I45" s="20"/>
      <c r="J45" s="21" t="s">
        <v>15</v>
      </c>
      <c r="K45" s="21"/>
      <c r="L45" s="21"/>
      <c r="M45" s="21" t="s">
        <v>82</v>
      </c>
      <c r="N45" s="21"/>
      <c r="O45" s="22"/>
      <c r="P45" s="27">
        <f>185000</f>
        <v>185000</v>
      </c>
      <c r="Q45" s="28"/>
      <c r="R45" s="28"/>
      <c r="S45" s="28">
        <f>77612.3</f>
        <v>77612.3</v>
      </c>
      <c r="T45" s="28"/>
      <c r="U45" s="28"/>
      <c r="V45" s="28"/>
      <c r="W45" s="28"/>
      <c r="X45" s="29">
        <f t="shared" si="0"/>
        <v>41.952594594594594</v>
      </c>
      <c r="Y45" s="29"/>
      <c r="Z45" s="30"/>
    </row>
    <row r="46" spans="1:26" s="1" customFormat="1" ht="45" customHeight="1" x14ac:dyDescent="0.2">
      <c r="A46" s="20" t="s">
        <v>83</v>
      </c>
      <c r="B46" s="20"/>
      <c r="C46" s="20"/>
      <c r="D46" s="20"/>
      <c r="E46" s="20"/>
      <c r="F46" s="20"/>
      <c r="G46" s="20"/>
      <c r="H46" s="20"/>
      <c r="I46" s="20"/>
      <c r="J46" s="21" t="s">
        <v>15</v>
      </c>
      <c r="K46" s="21"/>
      <c r="L46" s="21"/>
      <c r="M46" s="21" t="s">
        <v>84</v>
      </c>
      <c r="N46" s="21"/>
      <c r="O46" s="22"/>
      <c r="P46" s="27">
        <f>150000</f>
        <v>150000</v>
      </c>
      <c r="Q46" s="28"/>
      <c r="R46" s="28"/>
      <c r="S46" s="28">
        <f>75124</f>
        <v>75124</v>
      </c>
      <c r="T46" s="28"/>
      <c r="U46" s="28"/>
      <c r="V46" s="28"/>
      <c r="W46" s="28"/>
      <c r="X46" s="29">
        <f t="shared" si="0"/>
        <v>50.082666666666661</v>
      </c>
      <c r="Y46" s="29"/>
      <c r="Z46" s="30"/>
    </row>
    <row r="47" spans="1:26" s="1" customFormat="1" ht="45" customHeight="1" x14ac:dyDescent="0.2">
      <c r="A47" s="20" t="s">
        <v>85</v>
      </c>
      <c r="B47" s="20"/>
      <c r="C47" s="20"/>
      <c r="D47" s="20"/>
      <c r="E47" s="20"/>
      <c r="F47" s="20"/>
      <c r="G47" s="20"/>
      <c r="H47" s="20"/>
      <c r="I47" s="20"/>
      <c r="J47" s="21" t="s">
        <v>15</v>
      </c>
      <c r="K47" s="21"/>
      <c r="L47" s="21"/>
      <c r="M47" s="21" t="s">
        <v>86</v>
      </c>
      <c r="N47" s="21"/>
      <c r="O47" s="22"/>
      <c r="P47" s="27">
        <f>150000</f>
        <v>150000</v>
      </c>
      <c r="Q47" s="28"/>
      <c r="R47" s="28"/>
      <c r="S47" s="28">
        <f>75124</f>
        <v>75124</v>
      </c>
      <c r="T47" s="28"/>
      <c r="U47" s="28"/>
      <c r="V47" s="28"/>
      <c r="W47" s="28"/>
      <c r="X47" s="29">
        <f t="shared" si="0"/>
        <v>50.082666666666661</v>
      </c>
      <c r="Y47" s="29"/>
      <c r="Z47" s="30"/>
    </row>
    <row r="48" spans="1:26" s="1" customFormat="1" ht="54.95" customHeight="1" x14ac:dyDescent="0.2">
      <c r="A48" s="20" t="s">
        <v>87</v>
      </c>
      <c r="B48" s="20"/>
      <c r="C48" s="20"/>
      <c r="D48" s="20"/>
      <c r="E48" s="20"/>
      <c r="F48" s="20"/>
      <c r="G48" s="20"/>
      <c r="H48" s="20"/>
      <c r="I48" s="20"/>
      <c r="J48" s="21" t="s">
        <v>15</v>
      </c>
      <c r="K48" s="21"/>
      <c r="L48" s="21"/>
      <c r="M48" s="21" t="s">
        <v>88</v>
      </c>
      <c r="N48" s="21"/>
      <c r="O48" s="22"/>
      <c r="P48" s="27">
        <f>35000</f>
        <v>35000</v>
      </c>
      <c r="Q48" s="28"/>
      <c r="R48" s="28"/>
      <c r="S48" s="28">
        <f>2488.3</f>
        <v>2488.3000000000002</v>
      </c>
      <c r="T48" s="28"/>
      <c r="U48" s="28"/>
      <c r="V48" s="28"/>
      <c r="W48" s="28"/>
      <c r="X48" s="29">
        <f t="shared" si="0"/>
        <v>7.1094285714285723</v>
      </c>
      <c r="Y48" s="29"/>
      <c r="Z48" s="30"/>
    </row>
    <row r="49" spans="1:26" s="1" customFormat="1" ht="33.950000000000003" customHeight="1" x14ac:dyDescent="0.2">
      <c r="A49" s="20" t="s">
        <v>89</v>
      </c>
      <c r="B49" s="20"/>
      <c r="C49" s="20"/>
      <c r="D49" s="20"/>
      <c r="E49" s="20"/>
      <c r="F49" s="20"/>
      <c r="G49" s="20"/>
      <c r="H49" s="20"/>
      <c r="I49" s="20"/>
      <c r="J49" s="21" t="s">
        <v>15</v>
      </c>
      <c r="K49" s="21"/>
      <c r="L49" s="21"/>
      <c r="M49" s="21" t="s">
        <v>90</v>
      </c>
      <c r="N49" s="21"/>
      <c r="O49" s="22"/>
      <c r="P49" s="27">
        <f>35000</f>
        <v>35000</v>
      </c>
      <c r="Q49" s="28"/>
      <c r="R49" s="28"/>
      <c r="S49" s="28">
        <f>2488.3</f>
        <v>2488.3000000000002</v>
      </c>
      <c r="T49" s="28"/>
      <c r="U49" s="28"/>
      <c r="V49" s="28"/>
      <c r="W49" s="28"/>
      <c r="X49" s="29">
        <f t="shared" si="0"/>
        <v>7.1094285714285723</v>
      </c>
      <c r="Y49" s="29"/>
      <c r="Z49" s="30"/>
    </row>
    <row r="50" spans="1:26" s="1" customFormat="1" ht="24" customHeight="1" x14ac:dyDescent="0.2">
      <c r="A50" s="20" t="s">
        <v>91</v>
      </c>
      <c r="B50" s="20"/>
      <c r="C50" s="20"/>
      <c r="D50" s="20"/>
      <c r="E50" s="20"/>
      <c r="F50" s="20"/>
      <c r="G50" s="20"/>
      <c r="H50" s="20"/>
      <c r="I50" s="20"/>
      <c r="J50" s="21" t="s">
        <v>15</v>
      </c>
      <c r="K50" s="21"/>
      <c r="L50" s="21"/>
      <c r="M50" s="21" t="s">
        <v>92</v>
      </c>
      <c r="N50" s="21"/>
      <c r="O50" s="22"/>
      <c r="P50" s="31" t="s">
        <v>55</v>
      </c>
      <c r="Q50" s="32"/>
      <c r="R50" s="32"/>
      <c r="S50" s="28">
        <f>523.5</f>
        <v>523.5</v>
      </c>
      <c r="T50" s="28"/>
      <c r="U50" s="28"/>
      <c r="V50" s="28"/>
      <c r="W50" s="28"/>
      <c r="X50" s="29">
        <v>0</v>
      </c>
      <c r="Y50" s="29"/>
      <c r="Z50" s="30"/>
    </row>
    <row r="51" spans="1:26" s="1" customFormat="1" ht="14.1" customHeight="1" x14ac:dyDescent="0.2">
      <c r="A51" s="20" t="s">
        <v>93</v>
      </c>
      <c r="B51" s="20"/>
      <c r="C51" s="20"/>
      <c r="D51" s="20"/>
      <c r="E51" s="20"/>
      <c r="F51" s="20"/>
      <c r="G51" s="20"/>
      <c r="H51" s="20"/>
      <c r="I51" s="20"/>
      <c r="J51" s="21" t="s">
        <v>15</v>
      </c>
      <c r="K51" s="21"/>
      <c r="L51" s="21"/>
      <c r="M51" s="21" t="s">
        <v>94</v>
      </c>
      <c r="N51" s="21"/>
      <c r="O51" s="22"/>
      <c r="P51" s="31" t="s">
        <v>55</v>
      </c>
      <c r="Q51" s="32"/>
      <c r="R51" s="32"/>
      <c r="S51" s="28">
        <f>523.5</f>
        <v>523.5</v>
      </c>
      <c r="T51" s="28"/>
      <c r="U51" s="28"/>
      <c r="V51" s="28"/>
      <c r="W51" s="28"/>
      <c r="X51" s="29">
        <v>0</v>
      </c>
      <c r="Y51" s="29"/>
      <c r="Z51" s="30"/>
    </row>
    <row r="52" spans="1:26" s="1" customFormat="1" ht="14.1" customHeight="1" x14ac:dyDescent="0.2">
      <c r="A52" s="20" t="s">
        <v>95</v>
      </c>
      <c r="B52" s="20"/>
      <c r="C52" s="20"/>
      <c r="D52" s="20"/>
      <c r="E52" s="20"/>
      <c r="F52" s="20"/>
      <c r="G52" s="20"/>
      <c r="H52" s="20"/>
      <c r="I52" s="20"/>
      <c r="J52" s="21" t="s">
        <v>15</v>
      </c>
      <c r="K52" s="21"/>
      <c r="L52" s="21"/>
      <c r="M52" s="21" t="s">
        <v>96</v>
      </c>
      <c r="N52" s="21"/>
      <c r="O52" s="22"/>
      <c r="P52" s="31" t="s">
        <v>55</v>
      </c>
      <c r="Q52" s="32"/>
      <c r="R52" s="32"/>
      <c r="S52" s="28">
        <f>523.5</f>
        <v>523.5</v>
      </c>
      <c r="T52" s="28"/>
      <c r="U52" s="28"/>
      <c r="V52" s="28"/>
      <c r="W52" s="28"/>
      <c r="X52" s="29">
        <v>0</v>
      </c>
      <c r="Y52" s="29"/>
      <c r="Z52" s="30"/>
    </row>
    <row r="53" spans="1:26" s="1" customFormat="1" ht="14.1" customHeight="1" x14ac:dyDescent="0.2">
      <c r="A53" s="20" t="s">
        <v>97</v>
      </c>
      <c r="B53" s="20"/>
      <c r="C53" s="20"/>
      <c r="D53" s="20"/>
      <c r="E53" s="20"/>
      <c r="F53" s="20"/>
      <c r="G53" s="20"/>
      <c r="H53" s="20"/>
      <c r="I53" s="20"/>
      <c r="J53" s="21" t="s">
        <v>15</v>
      </c>
      <c r="K53" s="21"/>
      <c r="L53" s="21"/>
      <c r="M53" s="21" t="s">
        <v>98</v>
      </c>
      <c r="N53" s="21"/>
      <c r="O53" s="22"/>
      <c r="P53" s="31" t="s">
        <v>55</v>
      </c>
      <c r="Q53" s="32"/>
      <c r="R53" s="32"/>
      <c r="S53" s="28">
        <f>523.5</f>
        <v>523.5</v>
      </c>
      <c r="T53" s="28"/>
      <c r="U53" s="28"/>
      <c r="V53" s="28"/>
      <c r="W53" s="28"/>
      <c r="X53" s="29">
        <v>0</v>
      </c>
      <c r="Y53" s="29"/>
      <c r="Z53" s="30"/>
    </row>
    <row r="54" spans="1:26" s="1" customFormat="1" ht="14.1" customHeight="1" x14ac:dyDescent="0.2">
      <c r="A54" s="20" t="s">
        <v>99</v>
      </c>
      <c r="B54" s="20"/>
      <c r="C54" s="20"/>
      <c r="D54" s="20"/>
      <c r="E54" s="20"/>
      <c r="F54" s="20"/>
      <c r="G54" s="20"/>
      <c r="H54" s="20"/>
      <c r="I54" s="20"/>
      <c r="J54" s="21" t="s">
        <v>15</v>
      </c>
      <c r="K54" s="21"/>
      <c r="L54" s="21"/>
      <c r="M54" s="21" t="s">
        <v>100</v>
      </c>
      <c r="N54" s="21"/>
      <c r="O54" s="22"/>
      <c r="P54" s="27">
        <f>5000</f>
        <v>5000</v>
      </c>
      <c r="Q54" s="28"/>
      <c r="R54" s="28"/>
      <c r="S54" s="28">
        <f>23624.79</f>
        <v>23624.79</v>
      </c>
      <c r="T54" s="28"/>
      <c r="U54" s="28"/>
      <c r="V54" s="28"/>
      <c r="W54" s="28"/>
      <c r="X54" s="29">
        <f t="shared" si="0"/>
        <v>472.49579999999997</v>
      </c>
      <c r="Y54" s="29"/>
      <c r="Z54" s="30"/>
    </row>
    <row r="55" spans="1:26" s="1" customFormat="1" ht="66" customHeight="1" x14ac:dyDescent="0.2">
      <c r="A55" s="20" t="s">
        <v>101</v>
      </c>
      <c r="B55" s="20"/>
      <c r="C55" s="20"/>
      <c r="D55" s="20"/>
      <c r="E55" s="20"/>
      <c r="F55" s="20"/>
      <c r="G55" s="20"/>
      <c r="H55" s="20"/>
      <c r="I55" s="20"/>
      <c r="J55" s="21" t="s">
        <v>15</v>
      </c>
      <c r="K55" s="21"/>
      <c r="L55" s="21"/>
      <c r="M55" s="21" t="s">
        <v>102</v>
      </c>
      <c r="N55" s="21"/>
      <c r="O55" s="22"/>
      <c r="P55" s="27">
        <f>5000</f>
        <v>5000</v>
      </c>
      <c r="Q55" s="28"/>
      <c r="R55" s="28"/>
      <c r="S55" s="28">
        <f>23624.79</f>
        <v>23624.79</v>
      </c>
      <c r="T55" s="28"/>
      <c r="U55" s="28"/>
      <c r="V55" s="28"/>
      <c r="W55" s="28"/>
      <c r="X55" s="29">
        <f t="shared" si="0"/>
        <v>472.49579999999997</v>
      </c>
      <c r="Y55" s="29"/>
      <c r="Z55" s="30"/>
    </row>
    <row r="56" spans="1:26" s="1" customFormat="1" ht="33.950000000000003" customHeight="1" x14ac:dyDescent="0.2">
      <c r="A56" s="20" t="s">
        <v>103</v>
      </c>
      <c r="B56" s="20"/>
      <c r="C56" s="20"/>
      <c r="D56" s="20"/>
      <c r="E56" s="20"/>
      <c r="F56" s="20"/>
      <c r="G56" s="20"/>
      <c r="H56" s="20"/>
      <c r="I56" s="20"/>
      <c r="J56" s="21" t="s">
        <v>15</v>
      </c>
      <c r="K56" s="21"/>
      <c r="L56" s="21"/>
      <c r="M56" s="21" t="s">
        <v>104</v>
      </c>
      <c r="N56" s="21"/>
      <c r="O56" s="22"/>
      <c r="P56" s="27">
        <f>5000</f>
        <v>5000</v>
      </c>
      <c r="Q56" s="28"/>
      <c r="R56" s="28"/>
      <c r="S56" s="28">
        <f>23624.79</f>
        <v>23624.79</v>
      </c>
      <c r="T56" s="28"/>
      <c r="U56" s="28"/>
      <c r="V56" s="28"/>
      <c r="W56" s="28"/>
      <c r="X56" s="29">
        <f t="shared" si="0"/>
        <v>472.49579999999997</v>
      </c>
      <c r="Y56" s="29"/>
      <c r="Z56" s="30"/>
    </row>
    <row r="57" spans="1:26" s="1" customFormat="1" ht="45" customHeight="1" x14ac:dyDescent="0.2">
      <c r="A57" s="20" t="s">
        <v>105</v>
      </c>
      <c r="B57" s="20"/>
      <c r="C57" s="20"/>
      <c r="D57" s="20"/>
      <c r="E57" s="20"/>
      <c r="F57" s="20"/>
      <c r="G57" s="20"/>
      <c r="H57" s="20"/>
      <c r="I57" s="20"/>
      <c r="J57" s="21" t="s">
        <v>15</v>
      </c>
      <c r="K57" s="21"/>
      <c r="L57" s="21"/>
      <c r="M57" s="21" t="s">
        <v>106</v>
      </c>
      <c r="N57" s="21"/>
      <c r="O57" s="22"/>
      <c r="P57" s="27">
        <f>5000</f>
        <v>5000</v>
      </c>
      <c r="Q57" s="28"/>
      <c r="R57" s="28"/>
      <c r="S57" s="28">
        <f>23624.79</f>
        <v>23624.79</v>
      </c>
      <c r="T57" s="28"/>
      <c r="U57" s="28"/>
      <c r="V57" s="28"/>
      <c r="W57" s="28"/>
      <c r="X57" s="29">
        <f t="shared" si="0"/>
        <v>472.49579999999997</v>
      </c>
      <c r="Y57" s="29"/>
      <c r="Z57" s="30"/>
    </row>
    <row r="58" spans="1:26" s="1" customFormat="1" ht="14.1" customHeight="1" x14ac:dyDescent="0.2">
      <c r="A58" s="20" t="s">
        <v>107</v>
      </c>
      <c r="B58" s="20"/>
      <c r="C58" s="20"/>
      <c r="D58" s="20"/>
      <c r="E58" s="20"/>
      <c r="F58" s="20"/>
      <c r="G58" s="20"/>
      <c r="H58" s="20"/>
      <c r="I58" s="20"/>
      <c r="J58" s="21" t="s">
        <v>15</v>
      </c>
      <c r="K58" s="21"/>
      <c r="L58" s="21"/>
      <c r="M58" s="21" t="s">
        <v>108</v>
      </c>
      <c r="N58" s="21"/>
      <c r="O58" s="22"/>
      <c r="P58" s="27">
        <f>30000</f>
        <v>30000</v>
      </c>
      <c r="Q58" s="28"/>
      <c r="R58" s="28"/>
      <c r="S58" s="28">
        <f>20000</f>
        <v>20000</v>
      </c>
      <c r="T58" s="28"/>
      <c r="U58" s="28"/>
      <c r="V58" s="28"/>
      <c r="W58" s="28"/>
      <c r="X58" s="29">
        <f t="shared" si="0"/>
        <v>66.666666666666657</v>
      </c>
      <c r="Y58" s="29"/>
      <c r="Z58" s="30"/>
    </row>
    <row r="59" spans="1:26" s="1" customFormat="1" ht="14.1" customHeight="1" x14ac:dyDescent="0.2">
      <c r="A59" s="20" t="s">
        <v>109</v>
      </c>
      <c r="B59" s="20"/>
      <c r="C59" s="20"/>
      <c r="D59" s="20"/>
      <c r="E59" s="20"/>
      <c r="F59" s="20"/>
      <c r="G59" s="20"/>
      <c r="H59" s="20"/>
      <c r="I59" s="20"/>
      <c r="J59" s="21" t="s">
        <v>15</v>
      </c>
      <c r="K59" s="21"/>
      <c r="L59" s="21"/>
      <c r="M59" s="21" t="s">
        <v>110</v>
      </c>
      <c r="N59" s="21"/>
      <c r="O59" s="22"/>
      <c r="P59" s="27">
        <f>30000</f>
        <v>30000</v>
      </c>
      <c r="Q59" s="28"/>
      <c r="R59" s="28"/>
      <c r="S59" s="28">
        <f>20000</f>
        <v>20000</v>
      </c>
      <c r="T59" s="28"/>
      <c r="U59" s="28"/>
      <c r="V59" s="28"/>
      <c r="W59" s="28"/>
      <c r="X59" s="29">
        <f t="shared" si="0"/>
        <v>66.666666666666657</v>
      </c>
      <c r="Y59" s="29"/>
      <c r="Z59" s="30"/>
    </row>
    <row r="60" spans="1:26" s="1" customFormat="1" ht="14.1" customHeight="1" x14ac:dyDescent="0.2">
      <c r="A60" s="20" t="s">
        <v>111</v>
      </c>
      <c r="B60" s="20"/>
      <c r="C60" s="20"/>
      <c r="D60" s="20"/>
      <c r="E60" s="20"/>
      <c r="F60" s="20"/>
      <c r="G60" s="20"/>
      <c r="H60" s="20"/>
      <c r="I60" s="20"/>
      <c r="J60" s="21" t="s">
        <v>15</v>
      </c>
      <c r="K60" s="21"/>
      <c r="L60" s="21"/>
      <c r="M60" s="21" t="s">
        <v>112</v>
      </c>
      <c r="N60" s="21"/>
      <c r="O60" s="22"/>
      <c r="P60" s="27">
        <f>30000</f>
        <v>30000</v>
      </c>
      <c r="Q60" s="28"/>
      <c r="R60" s="28"/>
      <c r="S60" s="28">
        <f>20000</f>
        <v>20000</v>
      </c>
      <c r="T60" s="28"/>
      <c r="U60" s="28"/>
      <c r="V60" s="28"/>
      <c r="W60" s="28"/>
      <c r="X60" s="29">
        <f t="shared" si="0"/>
        <v>66.666666666666657</v>
      </c>
      <c r="Y60" s="29"/>
      <c r="Z60" s="30"/>
    </row>
    <row r="61" spans="1:26" s="1" customFormat="1" ht="14.1" customHeight="1" x14ac:dyDescent="0.2">
      <c r="A61" s="20" t="s">
        <v>113</v>
      </c>
      <c r="B61" s="20"/>
      <c r="C61" s="20"/>
      <c r="D61" s="20"/>
      <c r="E61" s="20"/>
      <c r="F61" s="20"/>
      <c r="G61" s="20"/>
      <c r="H61" s="20"/>
      <c r="I61" s="20"/>
      <c r="J61" s="21" t="s">
        <v>15</v>
      </c>
      <c r="K61" s="21"/>
      <c r="L61" s="21"/>
      <c r="M61" s="21" t="s">
        <v>114</v>
      </c>
      <c r="N61" s="21"/>
      <c r="O61" s="22"/>
      <c r="P61" s="27">
        <f>12942696</f>
        <v>12942696</v>
      </c>
      <c r="Q61" s="28"/>
      <c r="R61" s="28"/>
      <c r="S61" s="28">
        <f>6812443.88</f>
        <v>6812443.8799999999</v>
      </c>
      <c r="T61" s="28"/>
      <c r="U61" s="28"/>
      <c r="V61" s="28"/>
      <c r="W61" s="28"/>
      <c r="X61" s="29">
        <f t="shared" si="0"/>
        <v>52.635431443340707</v>
      </c>
      <c r="Y61" s="29"/>
      <c r="Z61" s="30"/>
    </row>
    <row r="62" spans="1:26" s="1" customFormat="1" ht="24" customHeight="1" x14ac:dyDescent="0.2">
      <c r="A62" s="20" t="s">
        <v>115</v>
      </c>
      <c r="B62" s="20"/>
      <c r="C62" s="20"/>
      <c r="D62" s="20"/>
      <c r="E62" s="20"/>
      <c r="F62" s="20"/>
      <c r="G62" s="20"/>
      <c r="H62" s="20"/>
      <c r="I62" s="20"/>
      <c r="J62" s="21" t="s">
        <v>15</v>
      </c>
      <c r="K62" s="21"/>
      <c r="L62" s="21"/>
      <c r="M62" s="21" t="s">
        <v>116</v>
      </c>
      <c r="N62" s="21"/>
      <c r="O62" s="22"/>
      <c r="P62" s="27">
        <f>12842696</f>
        <v>12842696</v>
      </c>
      <c r="Q62" s="28"/>
      <c r="R62" s="28"/>
      <c r="S62" s="28">
        <f>6783118.88</f>
        <v>6783118.8799999999</v>
      </c>
      <c r="T62" s="28"/>
      <c r="U62" s="28"/>
      <c r="V62" s="28"/>
      <c r="W62" s="28"/>
      <c r="X62" s="29">
        <f t="shared" si="0"/>
        <v>52.816938748686418</v>
      </c>
      <c r="Y62" s="29"/>
      <c r="Z62" s="30"/>
    </row>
    <row r="63" spans="1:26" s="1" customFormat="1" ht="14.1" customHeight="1" x14ac:dyDescent="0.2">
      <c r="A63" s="20" t="s">
        <v>117</v>
      </c>
      <c r="B63" s="20"/>
      <c r="C63" s="20"/>
      <c r="D63" s="20"/>
      <c r="E63" s="20"/>
      <c r="F63" s="20"/>
      <c r="G63" s="20"/>
      <c r="H63" s="20"/>
      <c r="I63" s="20"/>
      <c r="J63" s="21" t="s">
        <v>15</v>
      </c>
      <c r="K63" s="21"/>
      <c r="L63" s="21"/>
      <c r="M63" s="21" t="s">
        <v>118</v>
      </c>
      <c r="N63" s="21"/>
      <c r="O63" s="22"/>
      <c r="P63" s="27">
        <f>11098000</f>
        <v>11098000</v>
      </c>
      <c r="Q63" s="28"/>
      <c r="R63" s="28"/>
      <c r="S63" s="28">
        <f>5548700</f>
        <v>5548700</v>
      </c>
      <c r="T63" s="28"/>
      <c r="U63" s="28"/>
      <c r="V63" s="28"/>
      <c r="W63" s="28"/>
      <c r="X63" s="29">
        <f t="shared" si="0"/>
        <v>49.99729681023608</v>
      </c>
      <c r="Y63" s="29"/>
      <c r="Z63" s="30"/>
    </row>
    <row r="64" spans="1:26" s="1" customFormat="1" ht="14.1" customHeight="1" x14ac:dyDescent="0.2">
      <c r="A64" s="20" t="s">
        <v>119</v>
      </c>
      <c r="B64" s="20"/>
      <c r="C64" s="20"/>
      <c r="D64" s="20"/>
      <c r="E64" s="20"/>
      <c r="F64" s="20"/>
      <c r="G64" s="20"/>
      <c r="H64" s="20"/>
      <c r="I64" s="20"/>
      <c r="J64" s="21" t="s">
        <v>15</v>
      </c>
      <c r="K64" s="21"/>
      <c r="L64" s="21"/>
      <c r="M64" s="21" t="s">
        <v>120</v>
      </c>
      <c r="N64" s="21"/>
      <c r="O64" s="22"/>
      <c r="P64" s="27">
        <f>11098000</f>
        <v>11098000</v>
      </c>
      <c r="Q64" s="28"/>
      <c r="R64" s="28"/>
      <c r="S64" s="28">
        <f>5548700</f>
        <v>5548700</v>
      </c>
      <c r="T64" s="28"/>
      <c r="U64" s="28"/>
      <c r="V64" s="28"/>
      <c r="W64" s="28"/>
      <c r="X64" s="29">
        <f t="shared" si="0"/>
        <v>49.99729681023608</v>
      </c>
      <c r="Y64" s="29"/>
      <c r="Z64" s="30"/>
    </row>
    <row r="65" spans="1:26" s="1" customFormat="1" ht="24" customHeight="1" x14ac:dyDescent="0.2">
      <c r="A65" s="20" t="s">
        <v>121</v>
      </c>
      <c r="B65" s="20"/>
      <c r="C65" s="20"/>
      <c r="D65" s="20"/>
      <c r="E65" s="20"/>
      <c r="F65" s="20"/>
      <c r="G65" s="20"/>
      <c r="H65" s="20"/>
      <c r="I65" s="20"/>
      <c r="J65" s="21" t="s">
        <v>15</v>
      </c>
      <c r="K65" s="21"/>
      <c r="L65" s="21"/>
      <c r="M65" s="21" t="s">
        <v>122</v>
      </c>
      <c r="N65" s="21"/>
      <c r="O65" s="22"/>
      <c r="P65" s="27">
        <f>11098000</f>
        <v>11098000</v>
      </c>
      <c r="Q65" s="28"/>
      <c r="R65" s="28"/>
      <c r="S65" s="28">
        <f>5548700</f>
        <v>5548700</v>
      </c>
      <c r="T65" s="28"/>
      <c r="U65" s="28"/>
      <c r="V65" s="28"/>
      <c r="W65" s="28"/>
      <c r="X65" s="29">
        <f t="shared" si="0"/>
        <v>49.99729681023608</v>
      </c>
      <c r="Y65" s="29"/>
      <c r="Z65" s="30"/>
    </row>
    <row r="66" spans="1:26" s="1" customFormat="1" ht="14.1" customHeight="1" x14ac:dyDescent="0.2">
      <c r="A66" s="20" t="s">
        <v>123</v>
      </c>
      <c r="B66" s="20"/>
      <c r="C66" s="20"/>
      <c r="D66" s="20"/>
      <c r="E66" s="20"/>
      <c r="F66" s="20"/>
      <c r="G66" s="20"/>
      <c r="H66" s="20"/>
      <c r="I66" s="20"/>
      <c r="J66" s="21" t="s">
        <v>15</v>
      </c>
      <c r="K66" s="21"/>
      <c r="L66" s="21"/>
      <c r="M66" s="21" t="s">
        <v>124</v>
      </c>
      <c r="N66" s="21"/>
      <c r="O66" s="22"/>
      <c r="P66" s="27">
        <f>600700</f>
        <v>600700</v>
      </c>
      <c r="Q66" s="28"/>
      <c r="R66" s="28"/>
      <c r="S66" s="28">
        <f>90422.88</f>
        <v>90422.88</v>
      </c>
      <c r="T66" s="28"/>
      <c r="U66" s="28"/>
      <c r="V66" s="28"/>
      <c r="W66" s="28"/>
      <c r="X66" s="29">
        <f t="shared" si="0"/>
        <v>15.052918262027633</v>
      </c>
      <c r="Y66" s="29"/>
      <c r="Z66" s="30"/>
    </row>
    <row r="67" spans="1:26" s="1" customFormat="1" ht="24" customHeight="1" x14ac:dyDescent="0.2">
      <c r="A67" s="20" t="s">
        <v>125</v>
      </c>
      <c r="B67" s="20"/>
      <c r="C67" s="20"/>
      <c r="D67" s="20"/>
      <c r="E67" s="20"/>
      <c r="F67" s="20"/>
      <c r="G67" s="20"/>
      <c r="H67" s="20"/>
      <c r="I67" s="20"/>
      <c r="J67" s="21" t="s">
        <v>15</v>
      </c>
      <c r="K67" s="21"/>
      <c r="L67" s="21"/>
      <c r="M67" s="21" t="s">
        <v>126</v>
      </c>
      <c r="N67" s="21"/>
      <c r="O67" s="22"/>
      <c r="P67" s="27">
        <f>7600</f>
        <v>7600</v>
      </c>
      <c r="Q67" s="28"/>
      <c r="R67" s="28"/>
      <c r="S67" s="32" t="s">
        <v>55</v>
      </c>
      <c r="T67" s="32"/>
      <c r="U67" s="32"/>
      <c r="V67" s="32"/>
      <c r="W67" s="32"/>
      <c r="X67" s="29">
        <v>0</v>
      </c>
      <c r="Y67" s="29"/>
      <c r="Z67" s="30"/>
    </row>
    <row r="68" spans="1:26" s="1" customFormat="1" ht="24" customHeight="1" x14ac:dyDescent="0.2">
      <c r="A68" s="20" t="s">
        <v>127</v>
      </c>
      <c r="B68" s="20"/>
      <c r="C68" s="20"/>
      <c r="D68" s="20"/>
      <c r="E68" s="20"/>
      <c r="F68" s="20"/>
      <c r="G68" s="20"/>
      <c r="H68" s="20"/>
      <c r="I68" s="20"/>
      <c r="J68" s="21" t="s">
        <v>15</v>
      </c>
      <c r="K68" s="21"/>
      <c r="L68" s="21"/>
      <c r="M68" s="21" t="s">
        <v>128</v>
      </c>
      <c r="N68" s="21"/>
      <c r="O68" s="22"/>
      <c r="P68" s="27">
        <f>7600</f>
        <v>7600</v>
      </c>
      <c r="Q68" s="28"/>
      <c r="R68" s="28"/>
      <c r="S68" s="32" t="s">
        <v>55</v>
      </c>
      <c r="T68" s="32"/>
      <c r="U68" s="32"/>
      <c r="V68" s="32"/>
      <c r="W68" s="32"/>
      <c r="X68" s="29">
        <v>0</v>
      </c>
      <c r="Y68" s="29"/>
      <c r="Z68" s="30"/>
    </row>
    <row r="69" spans="1:26" s="1" customFormat="1" ht="24" customHeight="1" x14ac:dyDescent="0.2">
      <c r="A69" s="20" t="s">
        <v>129</v>
      </c>
      <c r="B69" s="20"/>
      <c r="C69" s="20"/>
      <c r="D69" s="20"/>
      <c r="E69" s="20"/>
      <c r="F69" s="20"/>
      <c r="G69" s="20"/>
      <c r="H69" s="20"/>
      <c r="I69" s="20"/>
      <c r="J69" s="21" t="s">
        <v>15</v>
      </c>
      <c r="K69" s="21"/>
      <c r="L69" s="21"/>
      <c r="M69" s="21" t="s">
        <v>130</v>
      </c>
      <c r="N69" s="21"/>
      <c r="O69" s="22"/>
      <c r="P69" s="27">
        <f>593100</f>
        <v>593100</v>
      </c>
      <c r="Q69" s="28"/>
      <c r="R69" s="28"/>
      <c r="S69" s="28">
        <f>90422.88</f>
        <v>90422.88</v>
      </c>
      <c r="T69" s="28"/>
      <c r="U69" s="28"/>
      <c r="V69" s="28"/>
      <c r="W69" s="28"/>
      <c r="X69" s="29">
        <f t="shared" si="0"/>
        <v>15.245806777946383</v>
      </c>
      <c r="Y69" s="29"/>
      <c r="Z69" s="30"/>
    </row>
    <row r="70" spans="1:26" s="1" customFormat="1" ht="33.950000000000003" customHeight="1" x14ac:dyDescent="0.2">
      <c r="A70" s="20" t="s">
        <v>131</v>
      </c>
      <c r="B70" s="20"/>
      <c r="C70" s="20"/>
      <c r="D70" s="20"/>
      <c r="E70" s="20"/>
      <c r="F70" s="20"/>
      <c r="G70" s="20"/>
      <c r="H70" s="20"/>
      <c r="I70" s="20"/>
      <c r="J70" s="21" t="s">
        <v>15</v>
      </c>
      <c r="K70" s="21"/>
      <c r="L70" s="21"/>
      <c r="M70" s="21" t="s">
        <v>132</v>
      </c>
      <c r="N70" s="21"/>
      <c r="O70" s="22"/>
      <c r="P70" s="27">
        <f>593100</f>
        <v>593100</v>
      </c>
      <c r="Q70" s="28"/>
      <c r="R70" s="28"/>
      <c r="S70" s="28">
        <f>90422.88</f>
        <v>90422.88</v>
      </c>
      <c r="T70" s="28"/>
      <c r="U70" s="28"/>
      <c r="V70" s="28"/>
      <c r="W70" s="28"/>
      <c r="X70" s="29">
        <f t="shared" si="0"/>
        <v>15.245806777946383</v>
      </c>
      <c r="Y70" s="29"/>
      <c r="Z70" s="30"/>
    </row>
    <row r="71" spans="1:26" s="1" customFormat="1" ht="14.1" customHeight="1" x14ac:dyDescent="0.2">
      <c r="A71" s="20" t="s">
        <v>133</v>
      </c>
      <c r="B71" s="20"/>
      <c r="C71" s="20"/>
      <c r="D71" s="20"/>
      <c r="E71" s="20"/>
      <c r="F71" s="20"/>
      <c r="G71" s="20"/>
      <c r="H71" s="20"/>
      <c r="I71" s="20"/>
      <c r="J71" s="21" t="s">
        <v>15</v>
      </c>
      <c r="K71" s="21"/>
      <c r="L71" s="21"/>
      <c r="M71" s="21" t="s">
        <v>134</v>
      </c>
      <c r="N71" s="21"/>
      <c r="O71" s="22"/>
      <c r="P71" s="27">
        <f>1143996</f>
        <v>1143996</v>
      </c>
      <c r="Q71" s="28"/>
      <c r="R71" s="28"/>
      <c r="S71" s="28">
        <f>1143996</f>
        <v>1143996</v>
      </c>
      <c r="T71" s="28"/>
      <c r="U71" s="28"/>
      <c r="V71" s="28"/>
      <c r="W71" s="28"/>
      <c r="X71" s="29">
        <f t="shared" si="0"/>
        <v>100</v>
      </c>
      <c r="Y71" s="29"/>
      <c r="Z71" s="30"/>
    </row>
    <row r="72" spans="1:26" s="1" customFormat="1" ht="33.950000000000003" customHeight="1" x14ac:dyDescent="0.2">
      <c r="A72" s="20" t="s">
        <v>135</v>
      </c>
      <c r="B72" s="20"/>
      <c r="C72" s="20"/>
      <c r="D72" s="20"/>
      <c r="E72" s="20"/>
      <c r="F72" s="20"/>
      <c r="G72" s="20"/>
      <c r="H72" s="20"/>
      <c r="I72" s="20"/>
      <c r="J72" s="21" t="s">
        <v>15</v>
      </c>
      <c r="K72" s="21"/>
      <c r="L72" s="21"/>
      <c r="M72" s="21" t="s">
        <v>136</v>
      </c>
      <c r="N72" s="21"/>
      <c r="O72" s="22"/>
      <c r="P72" s="27">
        <f>1143996</f>
        <v>1143996</v>
      </c>
      <c r="Q72" s="28"/>
      <c r="R72" s="28"/>
      <c r="S72" s="28">
        <f>1143996</f>
        <v>1143996</v>
      </c>
      <c r="T72" s="28"/>
      <c r="U72" s="28"/>
      <c r="V72" s="28"/>
      <c r="W72" s="28"/>
      <c r="X72" s="29">
        <f t="shared" si="0"/>
        <v>100</v>
      </c>
      <c r="Y72" s="29"/>
      <c r="Z72" s="30"/>
    </row>
    <row r="73" spans="1:26" s="1" customFormat="1" ht="45" customHeight="1" x14ac:dyDescent="0.2">
      <c r="A73" s="20" t="s">
        <v>137</v>
      </c>
      <c r="B73" s="20"/>
      <c r="C73" s="20"/>
      <c r="D73" s="20"/>
      <c r="E73" s="20"/>
      <c r="F73" s="20"/>
      <c r="G73" s="20"/>
      <c r="H73" s="20"/>
      <c r="I73" s="20"/>
      <c r="J73" s="21" t="s">
        <v>15</v>
      </c>
      <c r="K73" s="21"/>
      <c r="L73" s="21"/>
      <c r="M73" s="21" t="s">
        <v>138</v>
      </c>
      <c r="N73" s="21"/>
      <c r="O73" s="22"/>
      <c r="P73" s="27">
        <f>1143996</f>
        <v>1143996</v>
      </c>
      <c r="Q73" s="28"/>
      <c r="R73" s="28"/>
      <c r="S73" s="28">
        <f>1143996</f>
        <v>1143996</v>
      </c>
      <c r="T73" s="28"/>
      <c r="U73" s="28"/>
      <c r="V73" s="28"/>
      <c r="W73" s="28"/>
      <c r="X73" s="29">
        <f t="shared" si="0"/>
        <v>100</v>
      </c>
      <c r="Y73" s="29"/>
      <c r="Z73" s="30"/>
    </row>
    <row r="74" spans="1:26" s="1" customFormat="1" ht="14.1" customHeight="1" x14ac:dyDescent="0.2">
      <c r="A74" s="20" t="s">
        <v>139</v>
      </c>
      <c r="B74" s="20"/>
      <c r="C74" s="20"/>
      <c r="D74" s="20"/>
      <c r="E74" s="20"/>
      <c r="F74" s="20"/>
      <c r="G74" s="20"/>
      <c r="H74" s="20"/>
      <c r="I74" s="20"/>
      <c r="J74" s="21" t="s">
        <v>15</v>
      </c>
      <c r="K74" s="21"/>
      <c r="L74" s="21"/>
      <c r="M74" s="21" t="s">
        <v>140</v>
      </c>
      <c r="N74" s="21"/>
      <c r="O74" s="22"/>
      <c r="P74" s="27">
        <f>100000</f>
        <v>100000</v>
      </c>
      <c r="Q74" s="28"/>
      <c r="R74" s="28"/>
      <c r="S74" s="28">
        <f>29325</f>
        <v>29325</v>
      </c>
      <c r="T74" s="28"/>
      <c r="U74" s="28"/>
      <c r="V74" s="28"/>
      <c r="W74" s="28"/>
      <c r="X74" s="29">
        <f t="shared" si="0"/>
        <v>29.325000000000003</v>
      </c>
      <c r="Y74" s="29"/>
      <c r="Z74" s="30"/>
    </row>
    <row r="75" spans="1:26" s="1" customFormat="1" ht="14.1" customHeight="1" x14ac:dyDescent="0.2">
      <c r="A75" s="20" t="s">
        <v>141</v>
      </c>
      <c r="B75" s="20"/>
      <c r="C75" s="20"/>
      <c r="D75" s="20"/>
      <c r="E75" s="20"/>
      <c r="F75" s="20"/>
      <c r="G75" s="20"/>
      <c r="H75" s="20"/>
      <c r="I75" s="20"/>
      <c r="J75" s="21" t="s">
        <v>15</v>
      </c>
      <c r="K75" s="21"/>
      <c r="L75" s="21"/>
      <c r="M75" s="21" t="s">
        <v>142</v>
      </c>
      <c r="N75" s="21"/>
      <c r="O75" s="22"/>
      <c r="P75" s="27">
        <f>100000</f>
        <v>100000</v>
      </c>
      <c r="Q75" s="28"/>
      <c r="R75" s="28"/>
      <c r="S75" s="28">
        <f>29325</f>
        <v>29325</v>
      </c>
      <c r="T75" s="28"/>
      <c r="U75" s="28"/>
      <c r="V75" s="28"/>
      <c r="W75" s="28"/>
      <c r="X75" s="29">
        <f t="shared" si="0"/>
        <v>29.325000000000003</v>
      </c>
      <c r="Y75" s="29"/>
      <c r="Z75" s="30"/>
    </row>
    <row r="76" spans="1:26" s="1" customFormat="1" ht="14.1" customHeight="1" thickBot="1" x14ac:dyDescent="0.25">
      <c r="A76" s="20" t="s">
        <v>141</v>
      </c>
      <c r="B76" s="20"/>
      <c r="C76" s="20"/>
      <c r="D76" s="20"/>
      <c r="E76" s="20"/>
      <c r="F76" s="20"/>
      <c r="G76" s="20"/>
      <c r="H76" s="20"/>
      <c r="I76" s="20"/>
      <c r="J76" s="21" t="s">
        <v>15</v>
      </c>
      <c r="K76" s="21"/>
      <c r="L76" s="21"/>
      <c r="M76" s="21" t="s">
        <v>143</v>
      </c>
      <c r="N76" s="21"/>
      <c r="O76" s="22"/>
      <c r="P76" s="33">
        <f>100000</f>
        <v>100000</v>
      </c>
      <c r="Q76" s="34"/>
      <c r="R76" s="34"/>
      <c r="S76" s="34">
        <f>29325</f>
        <v>29325</v>
      </c>
      <c r="T76" s="34"/>
      <c r="U76" s="34"/>
      <c r="V76" s="34"/>
      <c r="W76" s="34"/>
      <c r="X76" s="35">
        <f t="shared" si="0"/>
        <v>29.325000000000003</v>
      </c>
      <c r="Y76" s="35"/>
      <c r="Z76" s="36"/>
    </row>
    <row r="77" spans="1:26" s="1" customFormat="1" ht="14.1" customHeight="1" x14ac:dyDescent="0.2">
      <c r="A77" s="37" t="s">
        <v>0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s="1" customFormat="1" ht="14.1" customHeight="1" thickBot="1" x14ac:dyDescent="0.25">
      <c r="A78" s="9" t="s">
        <v>144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s="1" customFormat="1" ht="35.1" customHeight="1" x14ac:dyDescent="0.2">
      <c r="A79" s="10" t="s">
        <v>2</v>
      </c>
      <c r="B79" s="10"/>
      <c r="C79" s="10"/>
      <c r="D79" s="10"/>
      <c r="E79" s="10"/>
      <c r="F79" s="10"/>
      <c r="G79" s="10"/>
      <c r="H79" s="10"/>
      <c r="I79" s="10" t="s">
        <v>3</v>
      </c>
      <c r="J79" s="10"/>
      <c r="K79" s="10"/>
      <c r="L79" s="10" t="s">
        <v>145</v>
      </c>
      <c r="M79" s="10"/>
      <c r="N79" s="10"/>
      <c r="O79" s="11" t="s">
        <v>146</v>
      </c>
      <c r="P79" s="11"/>
      <c r="Q79" s="11" t="s">
        <v>282</v>
      </c>
      <c r="R79" s="11"/>
      <c r="S79" s="11"/>
      <c r="T79" s="11" t="s">
        <v>283</v>
      </c>
      <c r="U79" s="11"/>
      <c r="V79" s="11"/>
      <c r="W79" s="11"/>
      <c r="X79" s="11"/>
      <c r="Y79" s="12" t="s">
        <v>284</v>
      </c>
      <c r="Z79" s="12"/>
    </row>
    <row r="80" spans="1:26" s="1" customFormat="1" ht="14.1" customHeight="1" thickBot="1" x14ac:dyDescent="0.25">
      <c r="A80" s="13" t="s">
        <v>8</v>
      </c>
      <c r="B80" s="13"/>
      <c r="C80" s="13"/>
      <c r="D80" s="13"/>
      <c r="E80" s="13"/>
      <c r="F80" s="13"/>
      <c r="G80" s="13"/>
      <c r="H80" s="13"/>
      <c r="I80" s="13" t="s">
        <v>9</v>
      </c>
      <c r="J80" s="13"/>
      <c r="K80" s="13"/>
      <c r="L80" s="13" t="s">
        <v>10</v>
      </c>
      <c r="M80" s="13"/>
      <c r="N80" s="13"/>
      <c r="O80" s="14" t="s">
        <v>11</v>
      </c>
      <c r="P80" s="14"/>
      <c r="Q80" s="14" t="s">
        <v>12</v>
      </c>
      <c r="R80" s="14"/>
      <c r="S80" s="14"/>
      <c r="T80" s="14" t="s">
        <v>13</v>
      </c>
      <c r="U80" s="14"/>
      <c r="V80" s="14"/>
      <c r="W80" s="14"/>
      <c r="X80" s="14"/>
      <c r="Y80" s="15" t="s">
        <v>147</v>
      </c>
      <c r="Z80" s="15"/>
    </row>
    <row r="81" spans="1:26" s="1" customFormat="1" ht="14.1" customHeight="1" thickBot="1" x14ac:dyDescent="0.25">
      <c r="A81" s="16" t="s">
        <v>148</v>
      </c>
      <c r="B81" s="16"/>
      <c r="C81" s="16"/>
      <c r="D81" s="16"/>
      <c r="E81" s="16"/>
      <c r="F81" s="16"/>
      <c r="G81" s="16"/>
      <c r="H81" s="16"/>
      <c r="I81" s="17" t="s">
        <v>149</v>
      </c>
      <c r="J81" s="17"/>
      <c r="K81" s="17"/>
      <c r="L81" s="17" t="s">
        <v>16</v>
      </c>
      <c r="M81" s="17"/>
      <c r="N81" s="17"/>
      <c r="O81" s="39" t="s">
        <v>16</v>
      </c>
      <c r="P81" s="39"/>
      <c r="Q81" s="18">
        <f>79854509.65</f>
        <v>79854509.650000006</v>
      </c>
      <c r="R81" s="18"/>
      <c r="S81" s="18"/>
      <c r="T81" s="18">
        <f>14155488.87</f>
        <v>14155488.869999999</v>
      </c>
      <c r="U81" s="18"/>
      <c r="V81" s="18"/>
      <c r="W81" s="18"/>
      <c r="X81" s="18"/>
      <c r="Y81" s="19">
        <f>T81/Q81*100</f>
        <v>17.726599201526746</v>
      </c>
      <c r="Z81" s="19"/>
    </row>
    <row r="82" spans="1:26" s="1" customFormat="1" ht="14.1" customHeight="1" x14ac:dyDescent="0.2">
      <c r="A82" s="40" t="s">
        <v>150</v>
      </c>
      <c r="B82" s="40"/>
      <c r="C82" s="40"/>
      <c r="D82" s="40"/>
      <c r="E82" s="40"/>
      <c r="F82" s="40"/>
      <c r="G82" s="40"/>
      <c r="H82" s="40"/>
      <c r="I82" s="41" t="s">
        <v>149</v>
      </c>
      <c r="J82" s="41"/>
      <c r="K82" s="41"/>
      <c r="L82" s="41" t="s">
        <v>151</v>
      </c>
      <c r="M82" s="41"/>
      <c r="N82" s="41"/>
      <c r="O82" s="42" t="s">
        <v>152</v>
      </c>
      <c r="P82" s="43"/>
      <c r="Q82" s="23">
        <f>1031000</f>
        <v>1031000</v>
      </c>
      <c r="R82" s="24"/>
      <c r="S82" s="24"/>
      <c r="T82" s="24">
        <f>189773.7</f>
        <v>189773.7</v>
      </c>
      <c r="U82" s="24"/>
      <c r="V82" s="24"/>
      <c r="W82" s="24"/>
      <c r="X82" s="24"/>
      <c r="Y82" s="25">
        <f t="shared" ref="Y82:Y144" si="1">T82/Q82*100</f>
        <v>18.406760426770127</v>
      </c>
      <c r="Z82" s="26"/>
    </row>
    <row r="83" spans="1:26" s="1" customFormat="1" ht="14.1" customHeight="1" x14ac:dyDescent="0.2">
      <c r="A83" s="40" t="s">
        <v>153</v>
      </c>
      <c r="B83" s="40"/>
      <c r="C83" s="40"/>
      <c r="D83" s="40"/>
      <c r="E83" s="40"/>
      <c r="F83" s="40"/>
      <c r="G83" s="40"/>
      <c r="H83" s="40"/>
      <c r="I83" s="41" t="s">
        <v>149</v>
      </c>
      <c r="J83" s="41"/>
      <c r="K83" s="41"/>
      <c r="L83" s="41" t="s">
        <v>151</v>
      </c>
      <c r="M83" s="41"/>
      <c r="N83" s="41"/>
      <c r="O83" s="42" t="s">
        <v>154</v>
      </c>
      <c r="P83" s="43"/>
      <c r="Q83" s="27">
        <f>10000</f>
        <v>10000</v>
      </c>
      <c r="R83" s="28"/>
      <c r="S83" s="28"/>
      <c r="T83" s="28">
        <f>6547.29</f>
        <v>6547.29</v>
      </c>
      <c r="U83" s="28"/>
      <c r="V83" s="28"/>
      <c r="W83" s="28"/>
      <c r="X83" s="28"/>
      <c r="Y83" s="29">
        <f t="shared" si="1"/>
        <v>65.472899999999996</v>
      </c>
      <c r="Z83" s="30"/>
    </row>
    <row r="84" spans="1:26" s="1" customFormat="1" ht="14.1" customHeight="1" x14ac:dyDescent="0.2">
      <c r="A84" s="40" t="s">
        <v>155</v>
      </c>
      <c r="B84" s="40"/>
      <c r="C84" s="40"/>
      <c r="D84" s="40"/>
      <c r="E84" s="40"/>
      <c r="F84" s="40"/>
      <c r="G84" s="40"/>
      <c r="H84" s="40"/>
      <c r="I84" s="41" t="s">
        <v>149</v>
      </c>
      <c r="J84" s="41"/>
      <c r="K84" s="41"/>
      <c r="L84" s="41" t="s">
        <v>156</v>
      </c>
      <c r="M84" s="41"/>
      <c r="N84" s="41"/>
      <c r="O84" s="42" t="s">
        <v>157</v>
      </c>
      <c r="P84" s="43"/>
      <c r="Q84" s="27">
        <f>314000</f>
        <v>314000</v>
      </c>
      <c r="R84" s="28"/>
      <c r="S84" s="28"/>
      <c r="T84" s="28">
        <f>46576.11</f>
        <v>46576.11</v>
      </c>
      <c r="U84" s="28"/>
      <c r="V84" s="28"/>
      <c r="W84" s="28"/>
      <c r="X84" s="28"/>
      <c r="Y84" s="29">
        <f t="shared" si="1"/>
        <v>14.833156050955415</v>
      </c>
      <c r="Z84" s="30"/>
    </row>
    <row r="85" spans="1:26" s="1" customFormat="1" ht="14.1" customHeight="1" x14ac:dyDescent="0.2">
      <c r="A85" s="40" t="s">
        <v>150</v>
      </c>
      <c r="B85" s="40"/>
      <c r="C85" s="40"/>
      <c r="D85" s="40"/>
      <c r="E85" s="40"/>
      <c r="F85" s="40"/>
      <c r="G85" s="40"/>
      <c r="H85" s="40"/>
      <c r="I85" s="41" t="s">
        <v>149</v>
      </c>
      <c r="J85" s="41"/>
      <c r="K85" s="41"/>
      <c r="L85" s="41" t="s">
        <v>158</v>
      </c>
      <c r="M85" s="41"/>
      <c r="N85" s="41"/>
      <c r="O85" s="42" t="s">
        <v>152</v>
      </c>
      <c r="P85" s="43"/>
      <c r="Q85" s="27">
        <f>6550000</f>
        <v>6550000</v>
      </c>
      <c r="R85" s="28"/>
      <c r="S85" s="28"/>
      <c r="T85" s="28">
        <f>1139512.49</f>
        <v>1139512.49</v>
      </c>
      <c r="U85" s="28"/>
      <c r="V85" s="28"/>
      <c r="W85" s="28"/>
      <c r="X85" s="28"/>
      <c r="Y85" s="29">
        <f t="shared" si="1"/>
        <v>17.397137251908397</v>
      </c>
      <c r="Z85" s="30"/>
    </row>
    <row r="86" spans="1:26" s="1" customFormat="1" ht="14.1" customHeight="1" x14ac:dyDescent="0.2">
      <c r="A86" s="40" t="s">
        <v>153</v>
      </c>
      <c r="B86" s="40"/>
      <c r="C86" s="40"/>
      <c r="D86" s="40"/>
      <c r="E86" s="40"/>
      <c r="F86" s="40"/>
      <c r="G86" s="40"/>
      <c r="H86" s="40"/>
      <c r="I86" s="41" t="s">
        <v>149</v>
      </c>
      <c r="J86" s="41"/>
      <c r="K86" s="41"/>
      <c r="L86" s="41" t="s">
        <v>158</v>
      </c>
      <c r="M86" s="41"/>
      <c r="N86" s="41"/>
      <c r="O86" s="42" t="s">
        <v>154</v>
      </c>
      <c r="P86" s="43"/>
      <c r="Q86" s="27">
        <f>30000</f>
        <v>30000</v>
      </c>
      <c r="R86" s="28"/>
      <c r="S86" s="28"/>
      <c r="T86" s="28">
        <f>4430.91</f>
        <v>4430.91</v>
      </c>
      <c r="U86" s="28"/>
      <c r="V86" s="28"/>
      <c r="W86" s="28"/>
      <c r="X86" s="28"/>
      <c r="Y86" s="29">
        <f t="shared" si="1"/>
        <v>14.7697</v>
      </c>
      <c r="Z86" s="30"/>
    </row>
    <row r="87" spans="1:26" s="1" customFormat="1" ht="14.1" customHeight="1" x14ac:dyDescent="0.2">
      <c r="A87" s="40" t="s">
        <v>155</v>
      </c>
      <c r="B87" s="40"/>
      <c r="C87" s="40"/>
      <c r="D87" s="40"/>
      <c r="E87" s="40"/>
      <c r="F87" s="40"/>
      <c r="G87" s="40"/>
      <c r="H87" s="40"/>
      <c r="I87" s="41" t="s">
        <v>149</v>
      </c>
      <c r="J87" s="41"/>
      <c r="K87" s="41"/>
      <c r="L87" s="41" t="s">
        <v>159</v>
      </c>
      <c r="M87" s="41"/>
      <c r="N87" s="41"/>
      <c r="O87" s="42" t="s">
        <v>157</v>
      </c>
      <c r="P87" s="43"/>
      <c r="Q87" s="27">
        <f>1969000</f>
        <v>1969000</v>
      </c>
      <c r="R87" s="28"/>
      <c r="S87" s="28"/>
      <c r="T87" s="28">
        <f>276688.09</f>
        <v>276688.09000000003</v>
      </c>
      <c r="U87" s="28"/>
      <c r="V87" s="28"/>
      <c r="W87" s="28"/>
      <c r="X87" s="28"/>
      <c r="Y87" s="29">
        <f t="shared" si="1"/>
        <v>14.052213814118844</v>
      </c>
      <c r="Z87" s="30"/>
    </row>
    <row r="88" spans="1:26" s="1" customFormat="1" ht="14.1" customHeight="1" x14ac:dyDescent="0.2">
      <c r="A88" s="40" t="s">
        <v>160</v>
      </c>
      <c r="B88" s="40"/>
      <c r="C88" s="40"/>
      <c r="D88" s="40"/>
      <c r="E88" s="40"/>
      <c r="F88" s="40"/>
      <c r="G88" s="40"/>
      <c r="H88" s="40"/>
      <c r="I88" s="41" t="s">
        <v>149</v>
      </c>
      <c r="J88" s="41"/>
      <c r="K88" s="41"/>
      <c r="L88" s="41" t="s">
        <v>161</v>
      </c>
      <c r="M88" s="41"/>
      <c r="N88" s="41"/>
      <c r="O88" s="42" t="s">
        <v>162</v>
      </c>
      <c r="P88" s="43"/>
      <c r="Q88" s="27">
        <f>7600</f>
        <v>7600</v>
      </c>
      <c r="R88" s="28"/>
      <c r="S88" s="28"/>
      <c r="T88" s="32" t="s">
        <v>55</v>
      </c>
      <c r="U88" s="32"/>
      <c r="V88" s="32"/>
      <c r="W88" s="32"/>
      <c r="X88" s="32"/>
      <c r="Y88" s="29">
        <v>0</v>
      </c>
      <c r="Z88" s="30"/>
    </row>
    <row r="89" spans="1:26" s="1" customFormat="1" ht="24" customHeight="1" x14ac:dyDescent="0.2">
      <c r="A89" s="40" t="s">
        <v>163</v>
      </c>
      <c r="B89" s="40"/>
      <c r="C89" s="40"/>
      <c r="D89" s="40"/>
      <c r="E89" s="40"/>
      <c r="F89" s="40"/>
      <c r="G89" s="40"/>
      <c r="H89" s="40"/>
      <c r="I89" s="41" t="s">
        <v>149</v>
      </c>
      <c r="J89" s="41"/>
      <c r="K89" s="41"/>
      <c r="L89" s="41" t="s">
        <v>164</v>
      </c>
      <c r="M89" s="41"/>
      <c r="N89" s="41"/>
      <c r="O89" s="42" t="s">
        <v>165</v>
      </c>
      <c r="P89" s="43"/>
      <c r="Q89" s="27">
        <f>327600</f>
        <v>327600</v>
      </c>
      <c r="R89" s="28"/>
      <c r="S89" s="28"/>
      <c r="T89" s="28">
        <f>327600</f>
        <v>327600</v>
      </c>
      <c r="U89" s="28"/>
      <c r="V89" s="28"/>
      <c r="W89" s="28"/>
      <c r="X89" s="28"/>
      <c r="Y89" s="29">
        <f t="shared" si="1"/>
        <v>100</v>
      </c>
      <c r="Z89" s="30"/>
    </row>
    <row r="90" spans="1:26" s="1" customFormat="1" ht="24" customHeight="1" x14ac:dyDescent="0.2">
      <c r="A90" s="40" t="s">
        <v>163</v>
      </c>
      <c r="B90" s="40"/>
      <c r="C90" s="40"/>
      <c r="D90" s="40"/>
      <c r="E90" s="40"/>
      <c r="F90" s="40"/>
      <c r="G90" s="40"/>
      <c r="H90" s="40"/>
      <c r="I90" s="41" t="s">
        <v>149</v>
      </c>
      <c r="J90" s="41"/>
      <c r="K90" s="41"/>
      <c r="L90" s="41" t="s">
        <v>166</v>
      </c>
      <c r="M90" s="41"/>
      <c r="N90" s="41"/>
      <c r="O90" s="42" t="s">
        <v>165</v>
      </c>
      <c r="P90" s="43"/>
      <c r="Q90" s="27">
        <f>75400</f>
        <v>75400</v>
      </c>
      <c r="R90" s="28"/>
      <c r="S90" s="28"/>
      <c r="T90" s="28">
        <f>75400</f>
        <v>75400</v>
      </c>
      <c r="U90" s="28"/>
      <c r="V90" s="28"/>
      <c r="W90" s="28"/>
      <c r="X90" s="28"/>
      <c r="Y90" s="29">
        <f t="shared" si="1"/>
        <v>100</v>
      </c>
      <c r="Z90" s="30"/>
    </row>
    <row r="91" spans="1:26" s="1" customFormat="1" ht="24" customHeight="1" x14ac:dyDescent="0.2">
      <c r="A91" s="40" t="s">
        <v>163</v>
      </c>
      <c r="B91" s="40"/>
      <c r="C91" s="40"/>
      <c r="D91" s="40"/>
      <c r="E91" s="40"/>
      <c r="F91" s="40"/>
      <c r="G91" s="40"/>
      <c r="H91" s="40"/>
      <c r="I91" s="41" t="s">
        <v>149</v>
      </c>
      <c r="J91" s="41"/>
      <c r="K91" s="41"/>
      <c r="L91" s="41" t="s">
        <v>167</v>
      </c>
      <c r="M91" s="41"/>
      <c r="N91" s="41"/>
      <c r="O91" s="42" t="s">
        <v>165</v>
      </c>
      <c r="P91" s="43"/>
      <c r="Q91" s="27">
        <f>196200</f>
        <v>196200</v>
      </c>
      <c r="R91" s="28"/>
      <c r="S91" s="28"/>
      <c r="T91" s="28">
        <f>196200</f>
        <v>196200</v>
      </c>
      <c r="U91" s="28"/>
      <c r="V91" s="28"/>
      <c r="W91" s="28"/>
      <c r="X91" s="28"/>
      <c r="Y91" s="29">
        <f t="shared" si="1"/>
        <v>100</v>
      </c>
      <c r="Z91" s="30"/>
    </row>
    <row r="92" spans="1:26" s="1" customFormat="1" ht="14.1" customHeight="1" x14ac:dyDescent="0.2">
      <c r="A92" s="40" t="s">
        <v>168</v>
      </c>
      <c r="B92" s="40"/>
      <c r="C92" s="40"/>
      <c r="D92" s="40"/>
      <c r="E92" s="40"/>
      <c r="F92" s="40"/>
      <c r="G92" s="40"/>
      <c r="H92" s="40"/>
      <c r="I92" s="41" t="s">
        <v>149</v>
      </c>
      <c r="J92" s="41"/>
      <c r="K92" s="41"/>
      <c r="L92" s="41" t="s">
        <v>169</v>
      </c>
      <c r="M92" s="41"/>
      <c r="N92" s="41"/>
      <c r="O92" s="42" t="s">
        <v>170</v>
      </c>
      <c r="P92" s="43"/>
      <c r="Q92" s="27">
        <f>100000</f>
        <v>100000</v>
      </c>
      <c r="R92" s="28"/>
      <c r="S92" s="28"/>
      <c r="T92" s="32" t="s">
        <v>55</v>
      </c>
      <c r="U92" s="32"/>
      <c r="V92" s="32"/>
      <c r="W92" s="32"/>
      <c r="X92" s="32"/>
      <c r="Y92" s="29">
        <v>0</v>
      </c>
      <c r="Z92" s="30"/>
    </row>
    <row r="93" spans="1:26" s="1" customFormat="1" ht="14.1" customHeight="1" x14ac:dyDescent="0.2">
      <c r="A93" s="40" t="s">
        <v>171</v>
      </c>
      <c r="B93" s="40"/>
      <c r="C93" s="40"/>
      <c r="D93" s="40"/>
      <c r="E93" s="40"/>
      <c r="F93" s="40"/>
      <c r="G93" s="40"/>
      <c r="H93" s="40"/>
      <c r="I93" s="41" t="s">
        <v>149</v>
      </c>
      <c r="J93" s="41"/>
      <c r="K93" s="41"/>
      <c r="L93" s="41" t="s">
        <v>172</v>
      </c>
      <c r="M93" s="41"/>
      <c r="N93" s="41"/>
      <c r="O93" s="42" t="s">
        <v>173</v>
      </c>
      <c r="P93" s="43"/>
      <c r="Q93" s="27">
        <f>50000</f>
        <v>50000</v>
      </c>
      <c r="R93" s="28"/>
      <c r="S93" s="28"/>
      <c r="T93" s="28">
        <f>10630</f>
        <v>10630</v>
      </c>
      <c r="U93" s="28"/>
      <c r="V93" s="28"/>
      <c r="W93" s="28"/>
      <c r="X93" s="28"/>
      <c r="Y93" s="29">
        <f t="shared" si="1"/>
        <v>21.26</v>
      </c>
      <c r="Z93" s="30"/>
    </row>
    <row r="94" spans="1:26" s="1" customFormat="1" ht="14.1" customHeight="1" x14ac:dyDescent="0.2">
      <c r="A94" s="40" t="s">
        <v>174</v>
      </c>
      <c r="B94" s="40"/>
      <c r="C94" s="40"/>
      <c r="D94" s="40"/>
      <c r="E94" s="40"/>
      <c r="F94" s="40"/>
      <c r="G94" s="40"/>
      <c r="H94" s="40"/>
      <c r="I94" s="41" t="s">
        <v>149</v>
      </c>
      <c r="J94" s="41"/>
      <c r="K94" s="41"/>
      <c r="L94" s="41" t="s">
        <v>175</v>
      </c>
      <c r="M94" s="41"/>
      <c r="N94" s="41"/>
      <c r="O94" s="42" t="s">
        <v>176</v>
      </c>
      <c r="P94" s="43"/>
      <c r="Q94" s="27">
        <f>55000</f>
        <v>55000</v>
      </c>
      <c r="R94" s="28"/>
      <c r="S94" s="28"/>
      <c r="T94" s="28">
        <f>11297.51</f>
        <v>11297.51</v>
      </c>
      <c r="U94" s="28"/>
      <c r="V94" s="28"/>
      <c r="W94" s="28"/>
      <c r="X94" s="28"/>
      <c r="Y94" s="29">
        <f t="shared" si="1"/>
        <v>20.540927272727274</v>
      </c>
      <c r="Z94" s="30"/>
    </row>
    <row r="95" spans="1:26" s="1" customFormat="1" ht="14.1" customHeight="1" x14ac:dyDescent="0.2">
      <c r="A95" s="40" t="s">
        <v>171</v>
      </c>
      <c r="B95" s="40"/>
      <c r="C95" s="40"/>
      <c r="D95" s="40"/>
      <c r="E95" s="40"/>
      <c r="F95" s="40"/>
      <c r="G95" s="40"/>
      <c r="H95" s="40"/>
      <c r="I95" s="41" t="s">
        <v>149</v>
      </c>
      <c r="J95" s="41"/>
      <c r="K95" s="41"/>
      <c r="L95" s="41" t="s">
        <v>175</v>
      </c>
      <c r="M95" s="41"/>
      <c r="N95" s="41"/>
      <c r="O95" s="42" t="s">
        <v>173</v>
      </c>
      <c r="P95" s="43"/>
      <c r="Q95" s="27">
        <f>63000</f>
        <v>63000</v>
      </c>
      <c r="R95" s="28"/>
      <c r="S95" s="28"/>
      <c r="T95" s="28">
        <f>34468.36</f>
        <v>34468.36</v>
      </c>
      <c r="U95" s="28"/>
      <c r="V95" s="28"/>
      <c r="W95" s="28"/>
      <c r="X95" s="28"/>
      <c r="Y95" s="29">
        <f t="shared" si="1"/>
        <v>54.711682539682535</v>
      </c>
      <c r="Z95" s="30"/>
    </row>
    <row r="96" spans="1:26" s="1" customFormat="1" ht="14.1" customHeight="1" x14ac:dyDescent="0.2">
      <c r="A96" s="40" t="s">
        <v>177</v>
      </c>
      <c r="B96" s="40"/>
      <c r="C96" s="40"/>
      <c r="D96" s="40"/>
      <c r="E96" s="40"/>
      <c r="F96" s="40"/>
      <c r="G96" s="40"/>
      <c r="H96" s="40"/>
      <c r="I96" s="41" t="s">
        <v>149</v>
      </c>
      <c r="J96" s="41"/>
      <c r="K96" s="41"/>
      <c r="L96" s="41" t="s">
        <v>175</v>
      </c>
      <c r="M96" s="41"/>
      <c r="N96" s="41"/>
      <c r="O96" s="42" t="s">
        <v>178</v>
      </c>
      <c r="P96" s="43"/>
      <c r="Q96" s="27">
        <f>168500</f>
        <v>168500</v>
      </c>
      <c r="R96" s="28"/>
      <c r="S96" s="28"/>
      <c r="T96" s="32" t="s">
        <v>55</v>
      </c>
      <c r="U96" s="32"/>
      <c r="V96" s="32"/>
      <c r="W96" s="32"/>
      <c r="X96" s="32"/>
      <c r="Y96" s="29">
        <v>0</v>
      </c>
      <c r="Z96" s="30"/>
    </row>
    <row r="97" spans="1:26" s="1" customFormat="1" ht="14.1" customHeight="1" x14ac:dyDescent="0.2">
      <c r="A97" s="40" t="s">
        <v>160</v>
      </c>
      <c r="B97" s="40"/>
      <c r="C97" s="40"/>
      <c r="D97" s="40"/>
      <c r="E97" s="40"/>
      <c r="F97" s="40"/>
      <c r="G97" s="40"/>
      <c r="H97" s="40"/>
      <c r="I97" s="41" t="s">
        <v>149</v>
      </c>
      <c r="J97" s="41"/>
      <c r="K97" s="41"/>
      <c r="L97" s="41" t="s">
        <v>175</v>
      </c>
      <c r="M97" s="41"/>
      <c r="N97" s="41"/>
      <c r="O97" s="42" t="s">
        <v>162</v>
      </c>
      <c r="P97" s="43"/>
      <c r="Q97" s="27">
        <f>213500</f>
        <v>213500</v>
      </c>
      <c r="R97" s="28"/>
      <c r="S97" s="28"/>
      <c r="T97" s="28">
        <f>40542.3</f>
        <v>40542.300000000003</v>
      </c>
      <c r="U97" s="28"/>
      <c r="V97" s="28"/>
      <c r="W97" s="28"/>
      <c r="X97" s="28"/>
      <c r="Y97" s="29">
        <f t="shared" si="1"/>
        <v>18.98936768149883</v>
      </c>
      <c r="Z97" s="30"/>
    </row>
    <row r="98" spans="1:26" s="1" customFormat="1" ht="14.1" customHeight="1" x14ac:dyDescent="0.2">
      <c r="A98" s="40" t="s">
        <v>160</v>
      </c>
      <c r="B98" s="40"/>
      <c r="C98" s="40"/>
      <c r="D98" s="40"/>
      <c r="E98" s="40"/>
      <c r="F98" s="40"/>
      <c r="G98" s="40"/>
      <c r="H98" s="40"/>
      <c r="I98" s="41" t="s">
        <v>149</v>
      </c>
      <c r="J98" s="41"/>
      <c r="K98" s="41"/>
      <c r="L98" s="41" t="s">
        <v>179</v>
      </c>
      <c r="M98" s="41"/>
      <c r="N98" s="41"/>
      <c r="O98" s="42" t="s">
        <v>162</v>
      </c>
      <c r="P98" s="43"/>
      <c r="Q98" s="27">
        <f>50000</f>
        <v>50000</v>
      </c>
      <c r="R98" s="28"/>
      <c r="S98" s="28"/>
      <c r="T98" s="32" t="s">
        <v>55</v>
      </c>
      <c r="U98" s="32"/>
      <c r="V98" s="32"/>
      <c r="W98" s="32"/>
      <c r="X98" s="32"/>
      <c r="Y98" s="29">
        <v>0</v>
      </c>
      <c r="Z98" s="30"/>
    </row>
    <row r="99" spans="1:26" s="1" customFormat="1" ht="14.1" customHeight="1" x14ac:dyDescent="0.2">
      <c r="A99" s="40" t="s">
        <v>180</v>
      </c>
      <c r="B99" s="40"/>
      <c r="C99" s="40"/>
      <c r="D99" s="40"/>
      <c r="E99" s="40"/>
      <c r="F99" s="40"/>
      <c r="G99" s="40"/>
      <c r="H99" s="40"/>
      <c r="I99" s="41" t="s">
        <v>149</v>
      </c>
      <c r="J99" s="41"/>
      <c r="K99" s="41"/>
      <c r="L99" s="41" t="s">
        <v>181</v>
      </c>
      <c r="M99" s="41"/>
      <c r="N99" s="41"/>
      <c r="O99" s="42" t="s">
        <v>182</v>
      </c>
      <c r="P99" s="43"/>
      <c r="Q99" s="27">
        <f>20000</f>
        <v>20000</v>
      </c>
      <c r="R99" s="28"/>
      <c r="S99" s="28"/>
      <c r="T99" s="28">
        <f>3687.24</f>
        <v>3687.24</v>
      </c>
      <c r="U99" s="28"/>
      <c r="V99" s="28"/>
      <c r="W99" s="28"/>
      <c r="X99" s="28"/>
      <c r="Y99" s="29">
        <f t="shared" si="1"/>
        <v>18.436199999999999</v>
      </c>
      <c r="Z99" s="30"/>
    </row>
    <row r="100" spans="1:26" s="1" customFormat="1" ht="14.1" customHeight="1" x14ac:dyDescent="0.2">
      <c r="A100" s="40" t="s">
        <v>183</v>
      </c>
      <c r="B100" s="40"/>
      <c r="C100" s="40"/>
      <c r="D100" s="40"/>
      <c r="E100" s="40"/>
      <c r="F100" s="40"/>
      <c r="G100" s="40"/>
      <c r="H100" s="40"/>
      <c r="I100" s="41" t="s">
        <v>149</v>
      </c>
      <c r="J100" s="41"/>
      <c r="K100" s="41"/>
      <c r="L100" s="41" t="s">
        <v>181</v>
      </c>
      <c r="M100" s="41"/>
      <c r="N100" s="41"/>
      <c r="O100" s="42" t="s">
        <v>184</v>
      </c>
      <c r="P100" s="43"/>
      <c r="Q100" s="27">
        <f>400000</f>
        <v>400000</v>
      </c>
      <c r="R100" s="28"/>
      <c r="S100" s="28"/>
      <c r="T100" s="28">
        <f>45000</f>
        <v>45000</v>
      </c>
      <c r="U100" s="28"/>
      <c r="V100" s="28"/>
      <c r="W100" s="28"/>
      <c r="X100" s="28"/>
      <c r="Y100" s="29">
        <f t="shared" si="1"/>
        <v>11.25</v>
      </c>
      <c r="Z100" s="30"/>
    </row>
    <row r="101" spans="1:26" s="1" customFormat="1" ht="14.1" customHeight="1" x14ac:dyDescent="0.2">
      <c r="A101" s="40" t="s">
        <v>171</v>
      </c>
      <c r="B101" s="40"/>
      <c r="C101" s="40"/>
      <c r="D101" s="40"/>
      <c r="E101" s="40"/>
      <c r="F101" s="40"/>
      <c r="G101" s="40"/>
      <c r="H101" s="40"/>
      <c r="I101" s="41" t="s">
        <v>149</v>
      </c>
      <c r="J101" s="41"/>
      <c r="K101" s="41"/>
      <c r="L101" s="41" t="s">
        <v>181</v>
      </c>
      <c r="M101" s="41"/>
      <c r="N101" s="41"/>
      <c r="O101" s="42" t="s">
        <v>173</v>
      </c>
      <c r="P101" s="43"/>
      <c r="Q101" s="27">
        <f>1666500</f>
        <v>1666500</v>
      </c>
      <c r="R101" s="28"/>
      <c r="S101" s="28"/>
      <c r="T101" s="28">
        <f>253517.7</f>
        <v>253517.7</v>
      </c>
      <c r="U101" s="28"/>
      <c r="V101" s="28"/>
      <c r="W101" s="28"/>
      <c r="X101" s="28"/>
      <c r="Y101" s="29">
        <f t="shared" si="1"/>
        <v>15.212583258325832</v>
      </c>
      <c r="Z101" s="30"/>
    </row>
    <row r="102" spans="1:26" s="1" customFormat="1" ht="14.1" customHeight="1" x14ac:dyDescent="0.2">
      <c r="A102" s="40" t="s">
        <v>185</v>
      </c>
      <c r="B102" s="40"/>
      <c r="C102" s="40"/>
      <c r="D102" s="40"/>
      <c r="E102" s="40"/>
      <c r="F102" s="40"/>
      <c r="G102" s="40"/>
      <c r="H102" s="40"/>
      <c r="I102" s="41" t="s">
        <v>149</v>
      </c>
      <c r="J102" s="41"/>
      <c r="K102" s="41"/>
      <c r="L102" s="41" t="s">
        <v>181</v>
      </c>
      <c r="M102" s="41"/>
      <c r="N102" s="41"/>
      <c r="O102" s="42" t="s">
        <v>186</v>
      </c>
      <c r="P102" s="43"/>
      <c r="Q102" s="27">
        <f>381000</f>
        <v>381000</v>
      </c>
      <c r="R102" s="28"/>
      <c r="S102" s="28"/>
      <c r="T102" s="28">
        <f>73386.67</f>
        <v>73386.67</v>
      </c>
      <c r="U102" s="28"/>
      <c r="V102" s="28"/>
      <c r="W102" s="28"/>
      <c r="X102" s="28"/>
      <c r="Y102" s="29">
        <f t="shared" si="1"/>
        <v>19.261593175853019</v>
      </c>
      <c r="Z102" s="30"/>
    </row>
    <row r="103" spans="1:26" s="1" customFormat="1" ht="14.1" customHeight="1" x14ac:dyDescent="0.2">
      <c r="A103" s="40" t="s">
        <v>160</v>
      </c>
      <c r="B103" s="40"/>
      <c r="C103" s="40"/>
      <c r="D103" s="40"/>
      <c r="E103" s="40"/>
      <c r="F103" s="40"/>
      <c r="G103" s="40"/>
      <c r="H103" s="40"/>
      <c r="I103" s="41" t="s">
        <v>149</v>
      </c>
      <c r="J103" s="41"/>
      <c r="K103" s="41"/>
      <c r="L103" s="41" t="s">
        <v>181</v>
      </c>
      <c r="M103" s="41"/>
      <c r="N103" s="41"/>
      <c r="O103" s="42" t="s">
        <v>162</v>
      </c>
      <c r="P103" s="43"/>
      <c r="Q103" s="27">
        <f>39500</f>
        <v>39500</v>
      </c>
      <c r="R103" s="28"/>
      <c r="S103" s="28"/>
      <c r="T103" s="32" t="s">
        <v>55</v>
      </c>
      <c r="U103" s="32"/>
      <c r="V103" s="32"/>
      <c r="W103" s="32"/>
      <c r="X103" s="32"/>
      <c r="Y103" s="29">
        <v>0</v>
      </c>
      <c r="Z103" s="30"/>
    </row>
    <row r="104" spans="1:26" s="1" customFormat="1" ht="14.1" customHeight="1" x14ac:dyDescent="0.2">
      <c r="A104" s="40" t="s">
        <v>180</v>
      </c>
      <c r="B104" s="40"/>
      <c r="C104" s="40"/>
      <c r="D104" s="40"/>
      <c r="E104" s="40"/>
      <c r="F104" s="40"/>
      <c r="G104" s="40"/>
      <c r="H104" s="40"/>
      <c r="I104" s="41" t="s">
        <v>149</v>
      </c>
      <c r="J104" s="41"/>
      <c r="K104" s="41"/>
      <c r="L104" s="41" t="s">
        <v>187</v>
      </c>
      <c r="M104" s="41"/>
      <c r="N104" s="41"/>
      <c r="O104" s="42" t="s">
        <v>182</v>
      </c>
      <c r="P104" s="43"/>
      <c r="Q104" s="27">
        <f>300000</f>
        <v>300000</v>
      </c>
      <c r="R104" s="28"/>
      <c r="S104" s="28"/>
      <c r="T104" s="28">
        <f>62154.32</f>
        <v>62154.32</v>
      </c>
      <c r="U104" s="28"/>
      <c r="V104" s="28"/>
      <c r="W104" s="28"/>
      <c r="X104" s="28"/>
      <c r="Y104" s="29">
        <f t="shared" si="1"/>
        <v>20.718106666666667</v>
      </c>
      <c r="Z104" s="30"/>
    </row>
    <row r="105" spans="1:26" s="1" customFormat="1" ht="14.1" customHeight="1" x14ac:dyDescent="0.2">
      <c r="A105" s="40" t="s">
        <v>188</v>
      </c>
      <c r="B105" s="40"/>
      <c r="C105" s="40"/>
      <c r="D105" s="40"/>
      <c r="E105" s="40"/>
      <c r="F105" s="40"/>
      <c r="G105" s="40"/>
      <c r="H105" s="40"/>
      <c r="I105" s="41" t="s">
        <v>149</v>
      </c>
      <c r="J105" s="41"/>
      <c r="K105" s="41"/>
      <c r="L105" s="41" t="s">
        <v>189</v>
      </c>
      <c r="M105" s="41"/>
      <c r="N105" s="41"/>
      <c r="O105" s="42" t="s">
        <v>190</v>
      </c>
      <c r="P105" s="43"/>
      <c r="Q105" s="27">
        <f>200000</f>
        <v>200000</v>
      </c>
      <c r="R105" s="28"/>
      <c r="S105" s="28"/>
      <c r="T105" s="28">
        <f>84764</f>
        <v>84764</v>
      </c>
      <c r="U105" s="28"/>
      <c r="V105" s="28"/>
      <c r="W105" s="28"/>
      <c r="X105" s="28"/>
      <c r="Y105" s="29">
        <f t="shared" si="1"/>
        <v>42.381999999999998</v>
      </c>
      <c r="Z105" s="30"/>
    </row>
    <row r="106" spans="1:26" s="1" customFormat="1" ht="14.1" customHeight="1" x14ac:dyDescent="0.2">
      <c r="A106" s="40" t="s">
        <v>188</v>
      </c>
      <c r="B106" s="40"/>
      <c r="C106" s="40"/>
      <c r="D106" s="40"/>
      <c r="E106" s="40"/>
      <c r="F106" s="40"/>
      <c r="G106" s="40"/>
      <c r="H106" s="40"/>
      <c r="I106" s="41" t="s">
        <v>149</v>
      </c>
      <c r="J106" s="41"/>
      <c r="K106" s="41"/>
      <c r="L106" s="41" t="s">
        <v>191</v>
      </c>
      <c r="M106" s="41"/>
      <c r="N106" s="41"/>
      <c r="O106" s="42" t="s">
        <v>190</v>
      </c>
      <c r="P106" s="43"/>
      <c r="Q106" s="27">
        <f>23000</f>
        <v>23000</v>
      </c>
      <c r="R106" s="28"/>
      <c r="S106" s="28"/>
      <c r="T106" s="32" t="s">
        <v>55</v>
      </c>
      <c r="U106" s="32"/>
      <c r="V106" s="32"/>
      <c r="W106" s="32"/>
      <c r="X106" s="32"/>
      <c r="Y106" s="29">
        <v>0</v>
      </c>
      <c r="Z106" s="30"/>
    </row>
    <row r="107" spans="1:26" s="1" customFormat="1" ht="24" customHeight="1" x14ac:dyDescent="0.2">
      <c r="A107" s="40" t="s">
        <v>192</v>
      </c>
      <c r="B107" s="40"/>
      <c r="C107" s="40"/>
      <c r="D107" s="40"/>
      <c r="E107" s="40"/>
      <c r="F107" s="40"/>
      <c r="G107" s="40"/>
      <c r="H107" s="40"/>
      <c r="I107" s="41" t="s">
        <v>149</v>
      </c>
      <c r="J107" s="41"/>
      <c r="K107" s="41"/>
      <c r="L107" s="41" t="s">
        <v>193</v>
      </c>
      <c r="M107" s="41"/>
      <c r="N107" s="41"/>
      <c r="O107" s="42" t="s">
        <v>194</v>
      </c>
      <c r="P107" s="43"/>
      <c r="Q107" s="27">
        <f>4000</f>
        <v>4000</v>
      </c>
      <c r="R107" s="28"/>
      <c r="S107" s="28"/>
      <c r="T107" s="32" t="s">
        <v>55</v>
      </c>
      <c r="U107" s="32"/>
      <c r="V107" s="32"/>
      <c r="W107" s="32"/>
      <c r="X107" s="32"/>
      <c r="Y107" s="29">
        <v>0</v>
      </c>
      <c r="Z107" s="30"/>
    </row>
    <row r="108" spans="1:26" s="1" customFormat="1" ht="24" customHeight="1" x14ac:dyDescent="0.2">
      <c r="A108" s="40" t="s">
        <v>195</v>
      </c>
      <c r="B108" s="40"/>
      <c r="C108" s="40"/>
      <c r="D108" s="40"/>
      <c r="E108" s="40"/>
      <c r="F108" s="40"/>
      <c r="G108" s="40"/>
      <c r="H108" s="40"/>
      <c r="I108" s="41" t="s">
        <v>149</v>
      </c>
      <c r="J108" s="41"/>
      <c r="K108" s="41"/>
      <c r="L108" s="41" t="s">
        <v>193</v>
      </c>
      <c r="M108" s="41"/>
      <c r="N108" s="41"/>
      <c r="O108" s="42" t="s">
        <v>196</v>
      </c>
      <c r="P108" s="43"/>
      <c r="Q108" s="27">
        <f>51000</f>
        <v>51000</v>
      </c>
      <c r="R108" s="28"/>
      <c r="S108" s="28"/>
      <c r="T108" s="28">
        <f>50282.92</f>
        <v>50282.92</v>
      </c>
      <c r="U108" s="28"/>
      <c r="V108" s="28"/>
      <c r="W108" s="28"/>
      <c r="X108" s="28"/>
      <c r="Y108" s="29">
        <f t="shared" si="1"/>
        <v>98.593960784313722</v>
      </c>
      <c r="Z108" s="30"/>
    </row>
    <row r="109" spans="1:26" s="1" customFormat="1" ht="14.1" customHeight="1" x14ac:dyDescent="0.2">
      <c r="A109" s="40" t="s">
        <v>168</v>
      </c>
      <c r="B109" s="40"/>
      <c r="C109" s="40"/>
      <c r="D109" s="40"/>
      <c r="E109" s="40"/>
      <c r="F109" s="40"/>
      <c r="G109" s="40"/>
      <c r="H109" s="40"/>
      <c r="I109" s="41" t="s">
        <v>149</v>
      </c>
      <c r="J109" s="41"/>
      <c r="K109" s="41"/>
      <c r="L109" s="41" t="s">
        <v>193</v>
      </c>
      <c r="M109" s="41"/>
      <c r="N109" s="41"/>
      <c r="O109" s="42" t="s">
        <v>170</v>
      </c>
      <c r="P109" s="43"/>
      <c r="Q109" s="27">
        <f>15000</f>
        <v>15000</v>
      </c>
      <c r="R109" s="28"/>
      <c r="S109" s="28"/>
      <c r="T109" s="28">
        <f>14614.8</f>
        <v>14614.8</v>
      </c>
      <c r="U109" s="28"/>
      <c r="V109" s="28"/>
      <c r="W109" s="28"/>
      <c r="X109" s="28"/>
      <c r="Y109" s="29">
        <f t="shared" si="1"/>
        <v>97.432000000000002</v>
      </c>
      <c r="Z109" s="30"/>
    </row>
    <row r="110" spans="1:26" s="1" customFormat="1" ht="14.1" customHeight="1" x14ac:dyDescent="0.2">
      <c r="A110" s="40" t="s">
        <v>171</v>
      </c>
      <c r="B110" s="40"/>
      <c r="C110" s="40"/>
      <c r="D110" s="40"/>
      <c r="E110" s="40"/>
      <c r="F110" s="40"/>
      <c r="G110" s="40"/>
      <c r="H110" s="40"/>
      <c r="I110" s="41" t="s">
        <v>149</v>
      </c>
      <c r="J110" s="41"/>
      <c r="K110" s="41"/>
      <c r="L110" s="41" t="s">
        <v>197</v>
      </c>
      <c r="M110" s="41"/>
      <c r="N110" s="41"/>
      <c r="O110" s="42" t="s">
        <v>173</v>
      </c>
      <c r="P110" s="43"/>
      <c r="Q110" s="27">
        <f>320000</f>
        <v>320000</v>
      </c>
      <c r="R110" s="28"/>
      <c r="S110" s="28"/>
      <c r="T110" s="28">
        <f>68569</f>
        <v>68569</v>
      </c>
      <c r="U110" s="28"/>
      <c r="V110" s="28"/>
      <c r="W110" s="28"/>
      <c r="X110" s="28"/>
      <c r="Y110" s="29">
        <f t="shared" si="1"/>
        <v>21.427812500000002</v>
      </c>
      <c r="Z110" s="30"/>
    </row>
    <row r="111" spans="1:26" s="1" customFormat="1" ht="24" customHeight="1" x14ac:dyDescent="0.2">
      <c r="A111" s="40" t="s">
        <v>198</v>
      </c>
      <c r="B111" s="40"/>
      <c r="C111" s="40"/>
      <c r="D111" s="40"/>
      <c r="E111" s="40"/>
      <c r="F111" s="40"/>
      <c r="G111" s="40"/>
      <c r="H111" s="40"/>
      <c r="I111" s="41" t="s">
        <v>149</v>
      </c>
      <c r="J111" s="41"/>
      <c r="K111" s="41"/>
      <c r="L111" s="41" t="s">
        <v>199</v>
      </c>
      <c r="M111" s="41"/>
      <c r="N111" s="41"/>
      <c r="O111" s="42" t="s">
        <v>200</v>
      </c>
      <c r="P111" s="43"/>
      <c r="Q111" s="27">
        <f>10000</f>
        <v>10000</v>
      </c>
      <c r="R111" s="28"/>
      <c r="S111" s="28"/>
      <c r="T111" s="32" t="s">
        <v>55</v>
      </c>
      <c r="U111" s="32"/>
      <c r="V111" s="32"/>
      <c r="W111" s="32"/>
      <c r="X111" s="32"/>
      <c r="Y111" s="29">
        <v>0</v>
      </c>
      <c r="Z111" s="30"/>
    </row>
    <row r="112" spans="1:26" s="1" customFormat="1" ht="24" customHeight="1" x14ac:dyDescent="0.2">
      <c r="A112" s="40" t="s">
        <v>201</v>
      </c>
      <c r="B112" s="40"/>
      <c r="C112" s="40"/>
      <c r="D112" s="40"/>
      <c r="E112" s="40"/>
      <c r="F112" s="40"/>
      <c r="G112" s="40"/>
      <c r="H112" s="40"/>
      <c r="I112" s="41" t="s">
        <v>149</v>
      </c>
      <c r="J112" s="41"/>
      <c r="K112" s="41"/>
      <c r="L112" s="41" t="s">
        <v>202</v>
      </c>
      <c r="M112" s="41"/>
      <c r="N112" s="41"/>
      <c r="O112" s="42" t="s">
        <v>203</v>
      </c>
      <c r="P112" s="43"/>
      <c r="Q112" s="27">
        <f>205000</f>
        <v>205000</v>
      </c>
      <c r="R112" s="28"/>
      <c r="S112" s="28"/>
      <c r="T112" s="28">
        <f>205000</f>
        <v>205000</v>
      </c>
      <c r="U112" s="28"/>
      <c r="V112" s="28"/>
      <c r="W112" s="28"/>
      <c r="X112" s="28"/>
      <c r="Y112" s="29">
        <f t="shared" si="1"/>
        <v>100</v>
      </c>
      <c r="Z112" s="30"/>
    </row>
    <row r="113" spans="1:26" s="1" customFormat="1" ht="14.1" customHeight="1" x14ac:dyDescent="0.2">
      <c r="A113" s="40" t="s">
        <v>171</v>
      </c>
      <c r="B113" s="40"/>
      <c r="C113" s="40"/>
      <c r="D113" s="40"/>
      <c r="E113" s="40"/>
      <c r="F113" s="40"/>
      <c r="G113" s="40"/>
      <c r="H113" s="40"/>
      <c r="I113" s="41" t="s">
        <v>149</v>
      </c>
      <c r="J113" s="41"/>
      <c r="K113" s="41"/>
      <c r="L113" s="41" t="s">
        <v>204</v>
      </c>
      <c r="M113" s="41"/>
      <c r="N113" s="41"/>
      <c r="O113" s="42" t="s">
        <v>173</v>
      </c>
      <c r="P113" s="43"/>
      <c r="Q113" s="27">
        <f>192000</f>
        <v>192000</v>
      </c>
      <c r="R113" s="28"/>
      <c r="S113" s="28"/>
      <c r="T113" s="28">
        <f>24160.5</f>
        <v>24160.5</v>
      </c>
      <c r="U113" s="28"/>
      <c r="V113" s="28"/>
      <c r="W113" s="28"/>
      <c r="X113" s="28"/>
      <c r="Y113" s="29">
        <f t="shared" si="1"/>
        <v>12.583593749999999</v>
      </c>
      <c r="Z113" s="30"/>
    </row>
    <row r="114" spans="1:26" s="1" customFormat="1" ht="14.1" customHeight="1" x14ac:dyDescent="0.2">
      <c r="A114" s="40" t="s">
        <v>150</v>
      </c>
      <c r="B114" s="40"/>
      <c r="C114" s="40"/>
      <c r="D114" s="40"/>
      <c r="E114" s="40"/>
      <c r="F114" s="40"/>
      <c r="G114" s="40"/>
      <c r="H114" s="40"/>
      <c r="I114" s="41" t="s">
        <v>149</v>
      </c>
      <c r="J114" s="41"/>
      <c r="K114" s="41"/>
      <c r="L114" s="41" t="s">
        <v>205</v>
      </c>
      <c r="M114" s="41"/>
      <c r="N114" s="41"/>
      <c r="O114" s="42" t="s">
        <v>152</v>
      </c>
      <c r="P114" s="43"/>
      <c r="Q114" s="27">
        <f>452530</f>
        <v>452530</v>
      </c>
      <c r="R114" s="28"/>
      <c r="S114" s="28"/>
      <c r="T114" s="28">
        <f>71740.32</f>
        <v>71740.320000000007</v>
      </c>
      <c r="U114" s="28"/>
      <c r="V114" s="28"/>
      <c r="W114" s="28"/>
      <c r="X114" s="28"/>
      <c r="Y114" s="29">
        <f t="shared" si="1"/>
        <v>15.853163326188321</v>
      </c>
      <c r="Z114" s="30"/>
    </row>
    <row r="115" spans="1:26" s="1" customFormat="1" ht="14.1" customHeight="1" x14ac:dyDescent="0.2">
      <c r="A115" s="40" t="s">
        <v>153</v>
      </c>
      <c r="B115" s="40"/>
      <c r="C115" s="40"/>
      <c r="D115" s="40"/>
      <c r="E115" s="40"/>
      <c r="F115" s="40"/>
      <c r="G115" s="40"/>
      <c r="H115" s="40"/>
      <c r="I115" s="41" t="s">
        <v>149</v>
      </c>
      <c r="J115" s="41"/>
      <c r="K115" s="41"/>
      <c r="L115" s="41" t="s">
        <v>205</v>
      </c>
      <c r="M115" s="41"/>
      <c r="N115" s="41"/>
      <c r="O115" s="42" t="s">
        <v>154</v>
      </c>
      <c r="P115" s="43"/>
      <c r="Q115" s="27">
        <f>3000</f>
        <v>3000</v>
      </c>
      <c r="R115" s="28"/>
      <c r="S115" s="28"/>
      <c r="T115" s="28">
        <f>1514.21</f>
        <v>1514.21</v>
      </c>
      <c r="U115" s="28"/>
      <c r="V115" s="28"/>
      <c r="W115" s="28"/>
      <c r="X115" s="28"/>
      <c r="Y115" s="29">
        <f t="shared" si="1"/>
        <v>50.473666666666674</v>
      </c>
      <c r="Z115" s="30"/>
    </row>
    <row r="116" spans="1:26" s="1" customFormat="1" ht="14.1" customHeight="1" x14ac:dyDescent="0.2">
      <c r="A116" s="40" t="s">
        <v>155</v>
      </c>
      <c r="B116" s="40"/>
      <c r="C116" s="40"/>
      <c r="D116" s="40"/>
      <c r="E116" s="40"/>
      <c r="F116" s="40"/>
      <c r="G116" s="40"/>
      <c r="H116" s="40"/>
      <c r="I116" s="41" t="s">
        <v>149</v>
      </c>
      <c r="J116" s="41"/>
      <c r="K116" s="41"/>
      <c r="L116" s="41" t="s">
        <v>206</v>
      </c>
      <c r="M116" s="41"/>
      <c r="N116" s="41"/>
      <c r="O116" s="42" t="s">
        <v>157</v>
      </c>
      <c r="P116" s="43"/>
      <c r="Q116" s="27">
        <f>137570</f>
        <v>137570</v>
      </c>
      <c r="R116" s="28"/>
      <c r="S116" s="28"/>
      <c r="T116" s="28">
        <f>17168.35</f>
        <v>17168.349999999999</v>
      </c>
      <c r="U116" s="28"/>
      <c r="V116" s="28"/>
      <c r="W116" s="28"/>
      <c r="X116" s="28"/>
      <c r="Y116" s="29">
        <f t="shared" si="1"/>
        <v>12.479719415570253</v>
      </c>
      <c r="Z116" s="30"/>
    </row>
    <row r="117" spans="1:26" s="1" customFormat="1" ht="14.1" customHeight="1" x14ac:dyDescent="0.2">
      <c r="A117" s="40" t="s">
        <v>183</v>
      </c>
      <c r="B117" s="40"/>
      <c r="C117" s="40"/>
      <c r="D117" s="40"/>
      <c r="E117" s="40"/>
      <c r="F117" s="40"/>
      <c r="G117" s="40"/>
      <c r="H117" s="40"/>
      <c r="I117" s="41" t="s">
        <v>149</v>
      </c>
      <c r="J117" s="41"/>
      <c r="K117" s="41"/>
      <c r="L117" s="41" t="s">
        <v>207</v>
      </c>
      <c r="M117" s="41"/>
      <c r="N117" s="41"/>
      <c r="O117" s="42" t="s">
        <v>184</v>
      </c>
      <c r="P117" s="43"/>
      <c r="Q117" s="27">
        <f>34000</f>
        <v>34000</v>
      </c>
      <c r="R117" s="28"/>
      <c r="S117" s="28"/>
      <c r="T117" s="28">
        <f>5250</f>
        <v>5250</v>
      </c>
      <c r="U117" s="28"/>
      <c r="V117" s="28"/>
      <c r="W117" s="28"/>
      <c r="X117" s="28"/>
      <c r="Y117" s="29">
        <f t="shared" si="1"/>
        <v>15.441176470588236</v>
      </c>
      <c r="Z117" s="30"/>
    </row>
    <row r="118" spans="1:26" s="1" customFormat="1" ht="24" customHeight="1" x14ac:dyDescent="0.2">
      <c r="A118" s="40" t="s">
        <v>163</v>
      </c>
      <c r="B118" s="40"/>
      <c r="C118" s="40"/>
      <c r="D118" s="40"/>
      <c r="E118" s="40"/>
      <c r="F118" s="40"/>
      <c r="G118" s="40"/>
      <c r="H118" s="40"/>
      <c r="I118" s="41" t="s">
        <v>149</v>
      </c>
      <c r="J118" s="41"/>
      <c r="K118" s="41"/>
      <c r="L118" s="41" t="s">
        <v>208</v>
      </c>
      <c r="M118" s="41"/>
      <c r="N118" s="41"/>
      <c r="O118" s="42" t="s">
        <v>165</v>
      </c>
      <c r="P118" s="43"/>
      <c r="Q118" s="27">
        <f>1844600</f>
        <v>1844600</v>
      </c>
      <c r="R118" s="28"/>
      <c r="S118" s="28"/>
      <c r="T118" s="28">
        <f>1844600</f>
        <v>1844600</v>
      </c>
      <c r="U118" s="28"/>
      <c r="V118" s="28"/>
      <c r="W118" s="28"/>
      <c r="X118" s="28"/>
      <c r="Y118" s="29">
        <f t="shared" si="1"/>
        <v>100</v>
      </c>
      <c r="Z118" s="30"/>
    </row>
    <row r="119" spans="1:26" s="1" customFormat="1" ht="14.1" customHeight="1" x14ac:dyDescent="0.2">
      <c r="A119" s="40" t="s">
        <v>171</v>
      </c>
      <c r="B119" s="40"/>
      <c r="C119" s="40"/>
      <c r="D119" s="40"/>
      <c r="E119" s="40"/>
      <c r="F119" s="40"/>
      <c r="G119" s="40"/>
      <c r="H119" s="40"/>
      <c r="I119" s="41" t="s">
        <v>149</v>
      </c>
      <c r="J119" s="41"/>
      <c r="K119" s="41"/>
      <c r="L119" s="41" t="s">
        <v>209</v>
      </c>
      <c r="M119" s="41"/>
      <c r="N119" s="41"/>
      <c r="O119" s="42" t="s">
        <v>173</v>
      </c>
      <c r="P119" s="43"/>
      <c r="Q119" s="27">
        <f>20000</f>
        <v>20000</v>
      </c>
      <c r="R119" s="28"/>
      <c r="S119" s="28"/>
      <c r="T119" s="32" t="s">
        <v>55</v>
      </c>
      <c r="U119" s="32"/>
      <c r="V119" s="32"/>
      <c r="W119" s="32"/>
      <c r="X119" s="32"/>
      <c r="Y119" s="29">
        <v>0</v>
      </c>
      <c r="Z119" s="30"/>
    </row>
    <row r="120" spans="1:26" s="1" customFormat="1" ht="14.1" customHeight="1" x14ac:dyDescent="0.2">
      <c r="A120" s="40" t="s">
        <v>171</v>
      </c>
      <c r="B120" s="40"/>
      <c r="C120" s="40"/>
      <c r="D120" s="40"/>
      <c r="E120" s="40"/>
      <c r="F120" s="40"/>
      <c r="G120" s="40"/>
      <c r="H120" s="40"/>
      <c r="I120" s="41" t="s">
        <v>149</v>
      </c>
      <c r="J120" s="41"/>
      <c r="K120" s="41"/>
      <c r="L120" s="41" t="s">
        <v>210</v>
      </c>
      <c r="M120" s="41"/>
      <c r="N120" s="41"/>
      <c r="O120" s="42" t="s">
        <v>173</v>
      </c>
      <c r="P120" s="43"/>
      <c r="Q120" s="27">
        <f>100000</f>
        <v>100000</v>
      </c>
      <c r="R120" s="28"/>
      <c r="S120" s="28"/>
      <c r="T120" s="28">
        <f>8643</f>
        <v>8643</v>
      </c>
      <c r="U120" s="28"/>
      <c r="V120" s="28"/>
      <c r="W120" s="28"/>
      <c r="X120" s="28"/>
      <c r="Y120" s="29">
        <f t="shared" si="1"/>
        <v>8.6430000000000007</v>
      </c>
      <c r="Z120" s="30"/>
    </row>
    <row r="121" spans="1:26" s="1" customFormat="1" ht="14.1" customHeight="1" x14ac:dyDescent="0.2">
      <c r="A121" s="40" t="s">
        <v>185</v>
      </c>
      <c r="B121" s="40"/>
      <c r="C121" s="40"/>
      <c r="D121" s="40"/>
      <c r="E121" s="40"/>
      <c r="F121" s="40"/>
      <c r="G121" s="40"/>
      <c r="H121" s="40"/>
      <c r="I121" s="41" t="s">
        <v>149</v>
      </c>
      <c r="J121" s="41"/>
      <c r="K121" s="41"/>
      <c r="L121" s="41" t="s">
        <v>210</v>
      </c>
      <c r="M121" s="41"/>
      <c r="N121" s="41"/>
      <c r="O121" s="42" t="s">
        <v>186</v>
      </c>
      <c r="P121" s="43"/>
      <c r="Q121" s="27">
        <f>50000</f>
        <v>50000</v>
      </c>
      <c r="R121" s="28"/>
      <c r="S121" s="28"/>
      <c r="T121" s="32" t="s">
        <v>55</v>
      </c>
      <c r="U121" s="32"/>
      <c r="V121" s="32"/>
      <c r="W121" s="32"/>
      <c r="X121" s="32"/>
      <c r="Y121" s="29">
        <v>0</v>
      </c>
      <c r="Z121" s="30"/>
    </row>
    <row r="122" spans="1:26" s="1" customFormat="1" ht="14.1" customHeight="1" x14ac:dyDescent="0.2">
      <c r="A122" s="40" t="s">
        <v>171</v>
      </c>
      <c r="B122" s="40"/>
      <c r="C122" s="40"/>
      <c r="D122" s="40"/>
      <c r="E122" s="40"/>
      <c r="F122" s="40"/>
      <c r="G122" s="40"/>
      <c r="H122" s="40"/>
      <c r="I122" s="41" t="s">
        <v>149</v>
      </c>
      <c r="J122" s="41"/>
      <c r="K122" s="41"/>
      <c r="L122" s="41" t="s">
        <v>211</v>
      </c>
      <c r="M122" s="41"/>
      <c r="N122" s="41"/>
      <c r="O122" s="42" t="s">
        <v>173</v>
      </c>
      <c r="P122" s="43"/>
      <c r="Q122" s="27">
        <f>5000</f>
        <v>5000</v>
      </c>
      <c r="R122" s="28"/>
      <c r="S122" s="28"/>
      <c r="T122" s="32" t="s">
        <v>55</v>
      </c>
      <c r="U122" s="32"/>
      <c r="V122" s="32"/>
      <c r="W122" s="32"/>
      <c r="X122" s="32"/>
      <c r="Y122" s="29">
        <v>0</v>
      </c>
      <c r="Z122" s="30"/>
    </row>
    <row r="123" spans="1:26" s="1" customFormat="1" ht="14.1" customHeight="1" x14ac:dyDescent="0.2">
      <c r="A123" s="40" t="s">
        <v>171</v>
      </c>
      <c r="B123" s="40"/>
      <c r="C123" s="40"/>
      <c r="D123" s="40"/>
      <c r="E123" s="40"/>
      <c r="F123" s="40"/>
      <c r="G123" s="40"/>
      <c r="H123" s="40"/>
      <c r="I123" s="41" t="s">
        <v>149</v>
      </c>
      <c r="J123" s="41"/>
      <c r="K123" s="41"/>
      <c r="L123" s="41" t="s">
        <v>212</v>
      </c>
      <c r="M123" s="41"/>
      <c r="N123" s="41"/>
      <c r="O123" s="42" t="s">
        <v>173</v>
      </c>
      <c r="P123" s="43"/>
      <c r="Q123" s="27">
        <f>75000</f>
        <v>75000</v>
      </c>
      <c r="R123" s="28"/>
      <c r="S123" s="28"/>
      <c r="T123" s="32" t="s">
        <v>55</v>
      </c>
      <c r="U123" s="32"/>
      <c r="V123" s="32"/>
      <c r="W123" s="32"/>
      <c r="X123" s="32"/>
      <c r="Y123" s="29">
        <v>0</v>
      </c>
      <c r="Z123" s="30"/>
    </row>
    <row r="124" spans="1:26" s="1" customFormat="1" ht="14.1" customHeight="1" x14ac:dyDescent="0.2">
      <c r="A124" s="40" t="s">
        <v>213</v>
      </c>
      <c r="B124" s="40"/>
      <c r="C124" s="40"/>
      <c r="D124" s="40"/>
      <c r="E124" s="40"/>
      <c r="F124" s="40"/>
      <c r="G124" s="40"/>
      <c r="H124" s="40"/>
      <c r="I124" s="41" t="s">
        <v>149</v>
      </c>
      <c r="J124" s="41"/>
      <c r="K124" s="41"/>
      <c r="L124" s="41" t="s">
        <v>214</v>
      </c>
      <c r="M124" s="41"/>
      <c r="N124" s="41"/>
      <c r="O124" s="42" t="s">
        <v>215</v>
      </c>
      <c r="P124" s="43"/>
      <c r="Q124" s="27">
        <f>610000</f>
        <v>610000</v>
      </c>
      <c r="R124" s="28"/>
      <c r="S124" s="28"/>
      <c r="T124" s="28">
        <f>82533.76</f>
        <v>82533.759999999995</v>
      </c>
      <c r="U124" s="28"/>
      <c r="V124" s="28"/>
      <c r="W124" s="28"/>
      <c r="X124" s="28"/>
      <c r="Y124" s="29">
        <f t="shared" si="1"/>
        <v>13.530124590163933</v>
      </c>
      <c r="Z124" s="30"/>
    </row>
    <row r="125" spans="1:26" s="1" customFormat="1" ht="14.1" customHeight="1" x14ac:dyDescent="0.2">
      <c r="A125" s="40" t="s">
        <v>183</v>
      </c>
      <c r="B125" s="40"/>
      <c r="C125" s="40"/>
      <c r="D125" s="40"/>
      <c r="E125" s="40"/>
      <c r="F125" s="40"/>
      <c r="G125" s="40"/>
      <c r="H125" s="40"/>
      <c r="I125" s="41" t="s">
        <v>149</v>
      </c>
      <c r="J125" s="41"/>
      <c r="K125" s="41"/>
      <c r="L125" s="41" t="s">
        <v>214</v>
      </c>
      <c r="M125" s="41"/>
      <c r="N125" s="41"/>
      <c r="O125" s="42" t="s">
        <v>184</v>
      </c>
      <c r="P125" s="43"/>
      <c r="Q125" s="27">
        <f>1000000</f>
        <v>1000000</v>
      </c>
      <c r="R125" s="28"/>
      <c r="S125" s="28"/>
      <c r="T125" s="32" t="s">
        <v>55</v>
      </c>
      <c r="U125" s="32"/>
      <c r="V125" s="32"/>
      <c r="W125" s="32"/>
      <c r="X125" s="32"/>
      <c r="Y125" s="29">
        <v>0</v>
      </c>
      <c r="Z125" s="30"/>
    </row>
    <row r="126" spans="1:26" s="1" customFormat="1" ht="14.1" customHeight="1" x14ac:dyDescent="0.2">
      <c r="A126" s="40" t="s">
        <v>171</v>
      </c>
      <c r="B126" s="40"/>
      <c r="C126" s="40"/>
      <c r="D126" s="40"/>
      <c r="E126" s="40"/>
      <c r="F126" s="40"/>
      <c r="G126" s="40"/>
      <c r="H126" s="40"/>
      <c r="I126" s="41" t="s">
        <v>149</v>
      </c>
      <c r="J126" s="41"/>
      <c r="K126" s="41"/>
      <c r="L126" s="41" t="s">
        <v>214</v>
      </c>
      <c r="M126" s="41"/>
      <c r="N126" s="41"/>
      <c r="O126" s="42" t="s">
        <v>173</v>
      </c>
      <c r="P126" s="43"/>
      <c r="Q126" s="27">
        <f>4214422</f>
        <v>4214422</v>
      </c>
      <c r="R126" s="28"/>
      <c r="S126" s="28"/>
      <c r="T126" s="28">
        <f>25502.4</f>
        <v>25502.400000000001</v>
      </c>
      <c r="U126" s="28"/>
      <c r="V126" s="28"/>
      <c r="W126" s="28"/>
      <c r="X126" s="28"/>
      <c r="Y126" s="29">
        <f t="shared" si="1"/>
        <v>0.60512212588108172</v>
      </c>
      <c r="Z126" s="30"/>
    </row>
    <row r="127" spans="1:26" s="1" customFormat="1" ht="14.1" customHeight="1" x14ac:dyDescent="0.2">
      <c r="A127" s="40" t="s">
        <v>177</v>
      </c>
      <c r="B127" s="40"/>
      <c r="C127" s="40"/>
      <c r="D127" s="40"/>
      <c r="E127" s="40"/>
      <c r="F127" s="40"/>
      <c r="G127" s="40"/>
      <c r="H127" s="40"/>
      <c r="I127" s="41" t="s">
        <v>149</v>
      </c>
      <c r="J127" s="41"/>
      <c r="K127" s="41"/>
      <c r="L127" s="41" t="s">
        <v>214</v>
      </c>
      <c r="M127" s="41"/>
      <c r="N127" s="41"/>
      <c r="O127" s="42" t="s">
        <v>178</v>
      </c>
      <c r="P127" s="43"/>
      <c r="Q127" s="27">
        <f>350000</f>
        <v>350000</v>
      </c>
      <c r="R127" s="28"/>
      <c r="S127" s="28"/>
      <c r="T127" s="32" t="s">
        <v>55</v>
      </c>
      <c r="U127" s="32"/>
      <c r="V127" s="32"/>
      <c r="W127" s="32"/>
      <c r="X127" s="32"/>
      <c r="Y127" s="29">
        <v>0</v>
      </c>
      <c r="Z127" s="30"/>
    </row>
    <row r="128" spans="1:26" s="1" customFormat="1" ht="14.1" customHeight="1" x14ac:dyDescent="0.2">
      <c r="A128" s="40" t="s">
        <v>160</v>
      </c>
      <c r="B128" s="40"/>
      <c r="C128" s="40"/>
      <c r="D128" s="40"/>
      <c r="E128" s="40"/>
      <c r="F128" s="40"/>
      <c r="G128" s="40"/>
      <c r="H128" s="40"/>
      <c r="I128" s="41" t="s">
        <v>149</v>
      </c>
      <c r="J128" s="41"/>
      <c r="K128" s="41"/>
      <c r="L128" s="41" t="s">
        <v>214</v>
      </c>
      <c r="M128" s="41"/>
      <c r="N128" s="41"/>
      <c r="O128" s="42" t="s">
        <v>162</v>
      </c>
      <c r="P128" s="43"/>
      <c r="Q128" s="27">
        <f>2500000</f>
        <v>2500000</v>
      </c>
      <c r="R128" s="28"/>
      <c r="S128" s="28"/>
      <c r="T128" s="28">
        <f>604764</f>
        <v>604764</v>
      </c>
      <c r="U128" s="28"/>
      <c r="V128" s="28"/>
      <c r="W128" s="28"/>
      <c r="X128" s="28"/>
      <c r="Y128" s="29">
        <f t="shared" si="1"/>
        <v>24.190560000000001</v>
      </c>
      <c r="Z128" s="30"/>
    </row>
    <row r="129" spans="1:26" s="1" customFormat="1" ht="14.1" customHeight="1" x14ac:dyDescent="0.2">
      <c r="A129" s="40" t="s">
        <v>171</v>
      </c>
      <c r="B129" s="40"/>
      <c r="C129" s="40"/>
      <c r="D129" s="40"/>
      <c r="E129" s="40"/>
      <c r="F129" s="40"/>
      <c r="G129" s="40"/>
      <c r="H129" s="40"/>
      <c r="I129" s="41" t="s">
        <v>149</v>
      </c>
      <c r="J129" s="41"/>
      <c r="K129" s="41"/>
      <c r="L129" s="41" t="s">
        <v>216</v>
      </c>
      <c r="M129" s="41"/>
      <c r="N129" s="41"/>
      <c r="O129" s="42" t="s">
        <v>173</v>
      </c>
      <c r="P129" s="43"/>
      <c r="Q129" s="27">
        <f>500000</f>
        <v>500000</v>
      </c>
      <c r="R129" s="28"/>
      <c r="S129" s="28"/>
      <c r="T129" s="28">
        <f>170000</f>
        <v>170000</v>
      </c>
      <c r="U129" s="28"/>
      <c r="V129" s="28"/>
      <c r="W129" s="28"/>
      <c r="X129" s="28"/>
      <c r="Y129" s="29">
        <f t="shared" si="1"/>
        <v>34</v>
      </c>
      <c r="Z129" s="30"/>
    </row>
    <row r="130" spans="1:26" s="1" customFormat="1" ht="14.1" customHeight="1" x14ac:dyDescent="0.2">
      <c r="A130" s="40" t="s">
        <v>171</v>
      </c>
      <c r="B130" s="40"/>
      <c r="C130" s="40"/>
      <c r="D130" s="40"/>
      <c r="E130" s="40"/>
      <c r="F130" s="40"/>
      <c r="G130" s="40"/>
      <c r="H130" s="40"/>
      <c r="I130" s="41" t="s">
        <v>149</v>
      </c>
      <c r="J130" s="41"/>
      <c r="K130" s="41"/>
      <c r="L130" s="41" t="s">
        <v>217</v>
      </c>
      <c r="M130" s="41"/>
      <c r="N130" s="41"/>
      <c r="O130" s="42" t="s">
        <v>173</v>
      </c>
      <c r="P130" s="43"/>
      <c r="Q130" s="27">
        <f>180000</f>
        <v>180000</v>
      </c>
      <c r="R130" s="28"/>
      <c r="S130" s="28"/>
      <c r="T130" s="28">
        <f>30000</f>
        <v>30000</v>
      </c>
      <c r="U130" s="28"/>
      <c r="V130" s="28"/>
      <c r="W130" s="28"/>
      <c r="X130" s="28"/>
      <c r="Y130" s="29">
        <f t="shared" si="1"/>
        <v>16.666666666666664</v>
      </c>
      <c r="Z130" s="30"/>
    </row>
    <row r="131" spans="1:26" s="1" customFormat="1" ht="14.1" customHeight="1" x14ac:dyDescent="0.2">
      <c r="A131" s="40" t="s">
        <v>171</v>
      </c>
      <c r="B131" s="40"/>
      <c r="C131" s="40"/>
      <c r="D131" s="40"/>
      <c r="E131" s="40"/>
      <c r="F131" s="40"/>
      <c r="G131" s="40"/>
      <c r="H131" s="40"/>
      <c r="I131" s="41" t="s">
        <v>149</v>
      </c>
      <c r="J131" s="41"/>
      <c r="K131" s="41"/>
      <c r="L131" s="41" t="s">
        <v>218</v>
      </c>
      <c r="M131" s="41"/>
      <c r="N131" s="41"/>
      <c r="O131" s="42" t="s">
        <v>173</v>
      </c>
      <c r="P131" s="43"/>
      <c r="Q131" s="27">
        <f>4462700</f>
        <v>4462700</v>
      </c>
      <c r="R131" s="28"/>
      <c r="S131" s="28"/>
      <c r="T131" s="32" t="s">
        <v>55</v>
      </c>
      <c r="U131" s="32"/>
      <c r="V131" s="32"/>
      <c r="W131" s="32"/>
      <c r="X131" s="32"/>
      <c r="Y131" s="29">
        <v>0</v>
      </c>
      <c r="Z131" s="30"/>
    </row>
    <row r="132" spans="1:26" s="1" customFormat="1" ht="14.1" customHeight="1" x14ac:dyDescent="0.2">
      <c r="A132" s="40" t="s">
        <v>171</v>
      </c>
      <c r="B132" s="40"/>
      <c r="C132" s="40"/>
      <c r="D132" s="40"/>
      <c r="E132" s="40"/>
      <c r="F132" s="40"/>
      <c r="G132" s="40"/>
      <c r="H132" s="40"/>
      <c r="I132" s="41" t="s">
        <v>149</v>
      </c>
      <c r="J132" s="41"/>
      <c r="K132" s="41"/>
      <c r="L132" s="41" t="s">
        <v>219</v>
      </c>
      <c r="M132" s="41"/>
      <c r="N132" s="41"/>
      <c r="O132" s="42" t="s">
        <v>173</v>
      </c>
      <c r="P132" s="43"/>
      <c r="Q132" s="27">
        <f>8217300</f>
        <v>8217300</v>
      </c>
      <c r="R132" s="28"/>
      <c r="S132" s="28"/>
      <c r="T132" s="32" t="s">
        <v>55</v>
      </c>
      <c r="U132" s="32"/>
      <c r="V132" s="32"/>
      <c r="W132" s="32"/>
      <c r="X132" s="32"/>
      <c r="Y132" s="29">
        <v>0</v>
      </c>
      <c r="Z132" s="30"/>
    </row>
    <row r="133" spans="1:26" s="1" customFormat="1" ht="14.1" customHeight="1" x14ac:dyDescent="0.2">
      <c r="A133" s="40" t="s">
        <v>171</v>
      </c>
      <c r="B133" s="40"/>
      <c r="C133" s="40"/>
      <c r="D133" s="40"/>
      <c r="E133" s="40"/>
      <c r="F133" s="40"/>
      <c r="G133" s="40"/>
      <c r="H133" s="40"/>
      <c r="I133" s="41" t="s">
        <v>149</v>
      </c>
      <c r="J133" s="41"/>
      <c r="K133" s="41"/>
      <c r="L133" s="41" t="s">
        <v>220</v>
      </c>
      <c r="M133" s="41"/>
      <c r="N133" s="41"/>
      <c r="O133" s="42" t="s">
        <v>173</v>
      </c>
      <c r="P133" s="43"/>
      <c r="Q133" s="27">
        <f>600000</f>
        <v>600000</v>
      </c>
      <c r="R133" s="28"/>
      <c r="S133" s="28"/>
      <c r="T133" s="32" t="s">
        <v>55</v>
      </c>
      <c r="U133" s="32"/>
      <c r="V133" s="32"/>
      <c r="W133" s="32"/>
      <c r="X133" s="32"/>
      <c r="Y133" s="29">
        <v>0</v>
      </c>
      <c r="Z133" s="30"/>
    </row>
    <row r="134" spans="1:26" s="1" customFormat="1" ht="14.1" customHeight="1" x14ac:dyDescent="0.2">
      <c r="A134" s="40" t="s">
        <v>183</v>
      </c>
      <c r="B134" s="40"/>
      <c r="C134" s="40"/>
      <c r="D134" s="40"/>
      <c r="E134" s="40"/>
      <c r="F134" s="40"/>
      <c r="G134" s="40"/>
      <c r="H134" s="40"/>
      <c r="I134" s="41" t="s">
        <v>149</v>
      </c>
      <c r="J134" s="41"/>
      <c r="K134" s="41"/>
      <c r="L134" s="41" t="s">
        <v>221</v>
      </c>
      <c r="M134" s="41"/>
      <c r="N134" s="41"/>
      <c r="O134" s="42" t="s">
        <v>184</v>
      </c>
      <c r="P134" s="43"/>
      <c r="Q134" s="27">
        <f>740000</f>
        <v>740000</v>
      </c>
      <c r="R134" s="28"/>
      <c r="S134" s="28"/>
      <c r="T134" s="32" t="s">
        <v>55</v>
      </c>
      <c r="U134" s="32"/>
      <c r="V134" s="32"/>
      <c r="W134" s="32"/>
      <c r="X134" s="32"/>
      <c r="Y134" s="29">
        <v>0</v>
      </c>
      <c r="Z134" s="30"/>
    </row>
    <row r="135" spans="1:26" s="1" customFormat="1" ht="14.1" customHeight="1" x14ac:dyDescent="0.2">
      <c r="A135" s="40" t="s">
        <v>180</v>
      </c>
      <c r="B135" s="40"/>
      <c r="C135" s="40"/>
      <c r="D135" s="40"/>
      <c r="E135" s="40"/>
      <c r="F135" s="40"/>
      <c r="G135" s="40"/>
      <c r="H135" s="40"/>
      <c r="I135" s="41" t="s">
        <v>149</v>
      </c>
      <c r="J135" s="41"/>
      <c r="K135" s="41"/>
      <c r="L135" s="41" t="s">
        <v>222</v>
      </c>
      <c r="M135" s="41"/>
      <c r="N135" s="41"/>
      <c r="O135" s="42" t="s">
        <v>182</v>
      </c>
      <c r="P135" s="43"/>
      <c r="Q135" s="27">
        <f>2300000</f>
        <v>2300000</v>
      </c>
      <c r="R135" s="28"/>
      <c r="S135" s="28"/>
      <c r="T135" s="28">
        <f>506389.09</f>
        <v>506389.09</v>
      </c>
      <c r="U135" s="28"/>
      <c r="V135" s="28"/>
      <c r="W135" s="28"/>
      <c r="X135" s="28"/>
      <c r="Y135" s="29">
        <f t="shared" si="1"/>
        <v>22.01691695652174</v>
      </c>
      <c r="Z135" s="30"/>
    </row>
    <row r="136" spans="1:26" s="1" customFormat="1" ht="14.1" customHeight="1" x14ac:dyDescent="0.2">
      <c r="A136" s="40" t="s">
        <v>171</v>
      </c>
      <c r="B136" s="40"/>
      <c r="C136" s="40"/>
      <c r="D136" s="40"/>
      <c r="E136" s="40"/>
      <c r="F136" s="40"/>
      <c r="G136" s="40"/>
      <c r="H136" s="40"/>
      <c r="I136" s="41" t="s">
        <v>149</v>
      </c>
      <c r="J136" s="41"/>
      <c r="K136" s="41"/>
      <c r="L136" s="41" t="s">
        <v>223</v>
      </c>
      <c r="M136" s="41"/>
      <c r="N136" s="41"/>
      <c r="O136" s="42" t="s">
        <v>173</v>
      </c>
      <c r="P136" s="43"/>
      <c r="Q136" s="27">
        <f>700000</f>
        <v>700000</v>
      </c>
      <c r="R136" s="28"/>
      <c r="S136" s="28"/>
      <c r="T136" s="28">
        <f>338000</f>
        <v>338000</v>
      </c>
      <c r="U136" s="28"/>
      <c r="V136" s="28"/>
      <c r="W136" s="28"/>
      <c r="X136" s="28"/>
      <c r="Y136" s="29">
        <f t="shared" si="1"/>
        <v>48.285714285714285</v>
      </c>
      <c r="Z136" s="30"/>
    </row>
    <row r="137" spans="1:26" s="1" customFormat="1" ht="14.1" customHeight="1" x14ac:dyDescent="0.2">
      <c r="A137" s="40" t="s">
        <v>213</v>
      </c>
      <c r="B137" s="40"/>
      <c r="C137" s="40"/>
      <c r="D137" s="40"/>
      <c r="E137" s="40"/>
      <c r="F137" s="40"/>
      <c r="G137" s="40"/>
      <c r="H137" s="40"/>
      <c r="I137" s="41" t="s">
        <v>149</v>
      </c>
      <c r="J137" s="41"/>
      <c r="K137" s="41"/>
      <c r="L137" s="41" t="s">
        <v>224</v>
      </c>
      <c r="M137" s="41"/>
      <c r="N137" s="41"/>
      <c r="O137" s="42" t="s">
        <v>215</v>
      </c>
      <c r="P137" s="43"/>
      <c r="Q137" s="27">
        <f>600000</f>
        <v>600000</v>
      </c>
      <c r="R137" s="28"/>
      <c r="S137" s="28"/>
      <c r="T137" s="28">
        <f>10440</f>
        <v>10440</v>
      </c>
      <c r="U137" s="28"/>
      <c r="V137" s="28"/>
      <c r="W137" s="28"/>
      <c r="X137" s="28"/>
      <c r="Y137" s="29">
        <f t="shared" si="1"/>
        <v>1.7399999999999998</v>
      </c>
      <c r="Z137" s="30"/>
    </row>
    <row r="138" spans="1:26" s="1" customFormat="1" ht="14.1" customHeight="1" x14ac:dyDescent="0.2">
      <c r="A138" s="40" t="s">
        <v>171</v>
      </c>
      <c r="B138" s="40"/>
      <c r="C138" s="40"/>
      <c r="D138" s="40"/>
      <c r="E138" s="40"/>
      <c r="F138" s="40"/>
      <c r="G138" s="40"/>
      <c r="H138" s="40"/>
      <c r="I138" s="41" t="s">
        <v>149</v>
      </c>
      <c r="J138" s="41"/>
      <c r="K138" s="41"/>
      <c r="L138" s="41" t="s">
        <v>224</v>
      </c>
      <c r="M138" s="41"/>
      <c r="N138" s="41"/>
      <c r="O138" s="42" t="s">
        <v>173</v>
      </c>
      <c r="P138" s="43"/>
      <c r="Q138" s="27">
        <f>900000</f>
        <v>900000</v>
      </c>
      <c r="R138" s="28"/>
      <c r="S138" s="28"/>
      <c r="T138" s="28">
        <f>19500</f>
        <v>19500</v>
      </c>
      <c r="U138" s="28"/>
      <c r="V138" s="28"/>
      <c r="W138" s="28"/>
      <c r="X138" s="28"/>
      <c r="Y138" s="29">
        <f t="shared" si="1"/>
        <v>2.166666666666667</v>
      </c>
      <c r="Z138" s="30"/>
    </row>
    <row r="139" spans="1:26" s="1" customFormat="1" ht="14.1" customHeight="1" x14ac:dyDescent="0.2">
      <c r="A139" s="40" t="s">
        <v>213</v>
      </c>
      <c r="B139" s="40"/>
      <c r="C139" s="40"/>
      <c r="D139" s="40"/>
      <c r="E139" s="40"/>
      <c r="F139" s="40"/>
      <c r="G139" s="40"/>
      <c r="H139" s="40"/>
      <c r="I139" s="41" t="s">
        <v>149</v>
      </c>
      <c r="J139" s="41"/>
      <c r="K139" s="41"/>
      <c r="L139" s="41" t="s">
        <v>225</v>
      </c>
      <c r="M139" s="41"/>
      <c r="N139" s="41"/>
      <c r="O139" s="42" t="s">
        <v>215</v>
      </c>
      <c r="P139" s="43"/>
      <c r="Q139" s="27">
        <f>500000</f>
        <v>500000</v>
      </c>
      <c r="R139" s="28"/>
      <c r="S139" s="28"/>
      <c r="T139" s="28">
        <f>1025218.78</f>
        <v>1025218.78</v>
      </c>
      <c r="U139" s="28"/>
      <c r="V139" s="28"/>
      <c r="W139" s="28"/>
      <c r="X139" s="28"/>
      <c r="Y139" s="29">
        <f t="shared" si="1"/>
        <v>205.04375600000003</v>
      </c>
      <c r="Z139" s="30"/>
    </row>
    <row r="140" spans="1:26" s="1" customFormat="1" ht="14.1" customHeight="1" x14ac:dyDescent="0.2">
      <c r="A140" s="40" t="s">
        <v>183</v>
      </c>
      <c r="B140" s="40"/>
      <c r="C140" s="40"/>
      <c r="D140" s="40"/>
      <c r="E140" s="40"/>
      <c r="F140" s="40"/>
      <c r="G140" s="40"/>
      <c r="H140" s="40"/>
      <c r="I140" s="41" t="s">
        <v>149</v>
      </c>
      <c r="J140" s="41"/>
      <c r="K140" s="41"/>
      <c r="L140" s="41" t="s">
        <v>225</v>
      </c>
      <c r="M140" s="41"/>
      <c r="N140" s="41"/>
      <c r="O140" s="42" t="s">
        <v>184</v>
      </c>
      <c r="P140" s="43"/>
      <c r="Q140" s="27">
        <f>500000</f>
        <v>500000</v>
      </c>
      <c r="R140" s="28"/>
      <c r="S140" s="28"/>
      <c r="T140" s="32" t="s">
        <v>55</v>
      </c>
      <c r="U140" s="32"/>
      <c r="V140" s="32"/>
      <c r="W140" s="32"/>
      <c r="X140" s="32"/>
      <c r="Y140" s="29">
        <v>0</v>
      </c>
      <c r="Z140" s="30"/>
    </row>
    <row r="141" spans="1:26" s="1" customFormat="1" ht="14.1" customHeight="1" x14ac:dyDescent="0.2">
      <c r="A141" s="40" t="s">
        <v>171</v>
      </c>
      <c r="B141" s="40"/>
      <c r="C141" s="40"/>
      <c r="D141" s="40"/>
      <c r="E141" s="40"/>
      <c r="F141" s="40"/>
      <c r="G141" s="40"/>
      <c r="H141" s="40"/>
      <c r="I141" s="41" t="s">
        <v>149</v>
      </c>
      <c r="J141" s="41"/>
      <c r="K141" s="41"/>
      <c r="L141" s="41" t="s">
        <v>225</v>
      </c>
      <c r="M141" s="41"/>
      <c r="N141" s="41"/>
      <c r="O141" s="42" t="s">
        <v>173</v>
      </c>
      <c r="P141" s="43"/>
      <c r="Q141" s="27">
        <f>10076891.65</f>
        <v>10076891.65</v>
      </c>
      <c r="R141" s="28"/>
      <c r="S141" s="28"/>
      <c r="T141" s="28">
        <f>737539.88</f>
        <v>737539.88</v>
      </c>
      <c r="U141" s="28"/>
      <c r="V141" s="28"/>
      <c r="W141" s="28"/>
      <c r="X141" s="28"/>
      <c r="Y141" s="29">
        <f t="shared" si="1"/>
        <v>7.3191208719605507</v>
      </c>
      <c r="Z141" s="30"/>
    </row>
    <row r="142" spans="1:26" s="1" customFormat="1" ht="14.1" customHeight="1" x14ac:dyDescent="0.2">
      <c r="A142" s="40" t="s">
        <v>177</v>
      </c>
      <c r="B142" s="40"/>
      <c r="C142" s="40"/>
      <c r="D142" s="40"/>
      <c r="E142" s="40"/>
      <c r="F142" s="40"/>
      <c r="G142" s="40"/>
      <c r="H142" s="40"/>
      <c r="I142" s="41" t="s">
        <v>149</v>
      </c>
      <c r="J142" s="41"/>
      <c r="K142" s="41"/>
      <c r="L142" s="41" t="s">
        <v>225</v>
      </c>
      <c r="M142" s="41"/>
      <c r="N142" s="41"/>
      <c r="O142" s="42" t="s">
        <v>178</v>
      </c>
      <c r="P142" s="43"/>
      <c r="Q142" s="27">
        <f>3000000</f>
        <v>3000000</v>
      </c>
      <c r="R142" s="28"/>
      <c r="S142" s="28"/>
      <c r="T142" s="28">
        <f>1170000</f>
        <v>1170000</v>
      </c>
      <c r="U142" s="28"/>
      <c r="V142" s="28"/>
      <c r="W142" s="28"/>
      <c r="X142" s="28"/>
      <c r="Y142" s="29">
        <f t="shared" si="1"/>
        <v>39</v>
      </c>
      <c r="Z142" s="30"/>
    </row>
    <row r="143" spans="1:26" s="1" customFormat="1" ht="14.1" customHeight="1" x14ac:dyDescent="0.2">
      <c r="A143" s="40" t="s">
        <v>185</v>
      </c>
      <c r="B143" s="40"/>
      <c r="C143" s="40"/>
      <c r="D143" s="40"/>
      <c r="E143" s="40"/>
      <c r="F143" s="40"/>
      <c r="G143" s="40"/>
      <c r="H143" s="40"/>
      <c r="I143" s="41" t="s">
        <v>149</v>
      </c>
      <c r="J143" s="41"/>
      <c r="K143" s="41"/>
      <c r="L143" s="41" t="s">
        <v>225</v>
      </c>
      <c r="M143" s="41"/>
      <c r="N143" s="41"/>
      <c r="O143" s="42" t="s">
        <v>186</v>
      </c>
      <c r="P143" s="43"/>
      <c r="Q143" s="27">
        <f>216700</f>
        <v>216700</v>
      </c>
      <c r="R143" s="28"/>
      <c r="S143" s="28"/>
      <c r="T143" s="32" t="s">
        <v>55</v>
      </c>
      <c r="U143" s="32"/>
      <c r="V143" s="32"/>
      <c r="W143" s="32"/>
      <c r="X143" s="32"/>
      <c r="Y143" s="29">
        <v>0</v>
      </c>
      <c r="Z143" s="30"/>
    </row>
    <row r="144" spans="1:26" s="1" customFormat="1" ht="14.1" customHeight="1" x14ac:dyDescent="0.2">
      <c r="A144" s="40" t="s">
        <v>160</v>
      </c>
      <c r="B144" s="40"/>
      <c r="C144" s="40"/>
      <c r="D144" s="40"/>
      <c r="E144" s="40"/>
      <c r="F144" s="40"/>
      <c r="G144" s="40"/>
      <c r="H144" s="40"/>
      <c r="I144" s="41" t="s">
        <v>149</v>
      </c>
      <c r="J144" s="41"/>
      <c r="K144" s="41"/>
      <c r="L144" s="41" t="s">
        <v>225</v>
      </c>
      <c r="M144" s="41"/>
      <c r="N144" s="41"/>
      <c r="O144" s="42" t="s">
        <v>162</v>
      </c>
      <c r="P144" s="43"/>
      <c r="Q144" s="27">
        <f>1000000</f>
        <v>1000000</v>
      </c>
      <c r="R144" s="28"/>
      <c r="S144" s="28"/>
      <c r="T144" s="28">
        <f>480320</f>
        <v>480320</v>
      </c>
      <c r="U144" s="28"/>
      <c r="V144" s="28"/>
      <c r="W144" s="28"/>
      <c r="X144" s="28"/>
      <c r="Y144" s="29">
        <f t="shared" si="1"/>
        <v>48.032000000000004</v>
      </c>
      <c r="Z144" s="30"/>
    </row>
    <row r="145" spans="1:26" s="1" customFormat="1" ht="14.1" customHeight="1" x14ac:dyDescent="0.2">
      <c r="A145" s="40" t="s">
        <v>171</v>
      </c>
      <c r="B145" s="40"/>
      <c r="C145" s="40"/>
      <c r="D145" s="40"/>
      <c r="E145" s="40"/>
      <c r="F145" s="40"/>
      <c r="G145" s="40"/>
      <c r="H145" s="40"/>
      <c r="I145" s="41" t="s">
        <v>149</v>
      </c>
      <c r="J145" s="41"/>
      <c r="K145" s="41"/>
      <c r="L145" s="41" t="s">
        <v>226</v>
      </c>
      <c r="M145" s="41"/>
      <c r="N145" s="41"/>
      <c r="O145" s="42" t="s">
        <v>173</v>
      </c>
      <c r="P145" s="43"/>
      <c r="Q145" s="27">
        <f>600000</f>
        <v>600000</v>
      </c>
      <c r="R145" s="28"/>
      <c r="S145" s="28"/>
      <c r="T145" s="32" t="s">
        <v>55</v>
      </c>
      <c r="U145" s="32"/>
      <c r="V145" s="32"/>
      <c r="W145" s="32"/>
      <c r="X145" s="32"/>
      <c r="Y145" s="29">
        <v>0</v>
      </c>
      <c r="Z145" s="30"/>
    </row>
    <row r="146" spans="1:26" s="1" customFormat="1" ht="14.1" customHeight="1" x14ac:dyDescent="0.2">
      <c r="A146" s="40" t="s">
        <v>171</v>
      </c>
      <c r="B146" s="40"/>
      <c r="C146" s="40"/>
      <c r="D146" s="40"/>
      <c r="E146" s="40"/>
      <c r="F146" s="40"/>
      <c r="G146" s="40"/>
      <c r="H146" s="40"/>
      <c r="I146" s="41" t="s">
        <v>149</v>
      </c>
      <c r="J146" s="41"/>
      <c r="K146" s="41"/>
      <c r="L146" s="41" t="s">
        <v>227</v>
      </c>
      <c r="M146" s="41"/>
      <c r="N146" s="41"/>
      <c r="O146" s="42" t="s">
        <v>173</v>
      </c>
      <c r="P146" s="43"/>
      <c r="Q146" s="27">
        <f>715996</f>
        <v>715996</v>
      </c>
      <c r="R146" s="28"/>
      <c r="S146" s="28"/>
      <c r="T146" s="28">
        <f>154688</f>
        <v>154688</v>
      </c>
      <c r="U146" s="28"/>
      <c r="V146" s="28"/>
      <c r="W146" s="28"/>
      <c r="X146" s="28"/>
      <c r="Y146" s="29">
        <f t="shared" ref="Y146:Y180" si="2">T146/Q146*100</f>
        <v>21.604589969776367</v>
      </c>
      <c r="Z146" s="30"/>
    </row>
    <row r="147" spans="1:26" s="1" customFormat="1" ht="14.1" customHeight="1" x14ac:dyDescent="0.2">
      <c r="A147" s="40" t="s">
        <v>177</v>
      </c>
      <c r="B147" s="40"/>
      <c r="C147" s="40"/>
      <c r="D147" s="40"/>
      <c r="E147" s="40"/>
      <c r="F147" s="40"/>
      <c r="G147" s="40"/>
      <c r="H147" s="40"/>
      <c r="I147" s="41" t="s">
        <v>149</v>
      </c>
      <c r="J147" s="41"/>
      <c r="K147" s="41"/>
      <c r="L147" s="41" t="s">
        <v>227</v>
      </c>
      <c r="M147" s="41"/>
      <c r="N147" s="41"/>
      <c r="O147" s="42" t="s">
        <v>178</v>
      </c>
      <c r="P147" s="43"/>
      <c r="Q147" s="27">
        <f>428000</f>
        <v>428000</v>
      </c>
      <c r="R147" s="28"/>
      <c r="S147" s="28"/>
      <c r="T147" s="28">
        <f>427500</f>
        <v>427500</v>
      </c>
      <c r="U147" s="28"/>
      <c r="V147" s="28"/>
      <c r="W147" s="28"/>
      <c r="X147" s="28"/>
      <c r="Y147" s="29">
        <f t="shared" si="2"/>
        <v>99.883177570093466</v>
      </c>
      <c r="Z147" s="30"/>
    </row>
    <row r="148" spans="1:26" s="1" customFormat="1" ht="14.1" customHeight="1" x14ac:dyDescent="0.2">
      <c r="A148" s="40" t="s">
        <v>171</v>
      </c>
      <c r="B148" s="40"/>
      <c r="C148" s="40"/>
      <c r="D148" s="40"/>
      <c r="E148" s="40"/>
      <c r="F148" s="40"/>
      <c r="G148" s="40"/>
      <c r="H148" s="40"/>
      <c r="I148" s="41" t="s">
        <v>149</v>
      </c>
      <c r="J148" s="41"/>
      <c r="K148" s="41"/>
      <c r="L148" s="41" t="s">
        <v>228</v>
      </c>
      <c r="M148" s="41"/>
      <c r="N148" s="41"/>
      <c r="O148" s="42" t="s">
        <v>173</v>
      </c>
      <c r="P148" s="43"/>
      <c r="Q148" s="27">
        <f>400000</f>
        <v>400000</v>
      </c>
      <c r="R148" s="28"/>
      <c r="S148" s="28"/>
      <c r="T148" s="32" t="s">
        <v>55</v>
      </c>
      <c r="U148" s="32"/>
      <c r="V148" s="32"/>
      <c r="W148" s="32"/>
      <c r="X148" s="32"/>
      <c r="Y148" s="29">
        <v>0</v>
      </c>
      <c r="Z148" s="30"/>
    </row>
    <row r="149" spans="1:26" s="1" customFormat="1" ht="14.1" customHeight="1" x14ac:dyDescent="0.2">
      <c r="A149" s="40" t="s">
        <v>213</v>
      </c>
      <c r="B149" s="40"/>
      <c r="C149" s="40"/>
      <c r="D149" s="40"/>
      <c r="E149" s="40"/>
      <c r="F149" s="40"/>
      <c r="G149" s="40"/>
      <c r="H149" s="40"/>
      <c r="I149" s="41" t="s">
        <v>149</v>
      </c>
      <c r="J149" s="41"/>
      <c r="K149" s="41"/>
      <c r="L149" s="41" t="s">
        <v>229</v>
      </c>
      <c r="M149" s="41"/>
      <c r="N149" s="41"/>
      <c r="O149" s="42" t="s">
        <v>215</v>
      </c>
      <c r="P149" s="43"/>
      <c r="Q149" s="27">
        <f>11000</f>
        <v>11000</v>
      </c>
      <c r="R149" s="28"/>
      <c r="S149" s="28"/>
      <c r="T149" s="28">
        <f>7300</f>
        <v>7300</v>
      </c>
      <c r="U149" s="28"/>
      <c r="V149" s="28"/>
      <c r="W149" s="28"/>
      <c r="X149" s="28"/>
      <c r="Y149" s="29">
        <f t="shared" si="2"/>
        <v>66.363636363636374</v>
      </c>
      <c r="Z149" s="30"/>
    </row>
    <row r="150" spans="1:26" s="1" customFormat="1" ht="14.1" customHeight="1" x14ac:dyDescent="0.2">
      <c r="A150" s="40" t="s">
        <v>171</v>
      </c>
      <c r="B150" s="40"/>
      <c r="C150" s="40"/>
      <c r="D150" s="40"/>
      <c r="E150" s="40"/>
      <c r="F150" s="40"/>
      <c r="G150" s="40"/>
      <c r="H150" s="40"/>
      <c r="I150" s="41" t="s">
        <v>149</v>
      </c>
      <c r="J150" s="41"/>
      <c r="K150" s="41"/>
      <c r="L150" s="41" t="s">
        <v>229</v>
      </c>
      <c r="M150" s="41"/>
      <c r="N150" s="41"/>
      <c r="O150" s="42" t="s">
        <v>173</v>
      </c>
      <c r="P150" s="43"/>
      <c r="Q150" s="27">
        <f>50000</f>
        <v>50000</v>
      </c>
      <c r="R150" s="28"/>
      <c r="S150" s="28"/>
      <c r="T150" s="32" t="s">
        <v>55</v>
      </c>
      <c r="U150" s="32"/>
      <c r="V150" s="32"/>
      <c r="W150" s="32"/>
      <c r="X150" s="32"/>
      <c r="Y150" s="29">
        <v>0</v>
      </c>
      <c r="Z150" s="30"/>
    </row>
    <row r="151" spans="1:26" s="1" customFormat="1" ht="24" customHeight="1" x14ac:dyDescent="0.2">
      <c r="A151" s="40" t="s">
        <v>198</v>
      </c>
      <c r="B151" s="40"/>
      <c r="C151" s="40"/>
      <c r="D151" s="40"/>
      <c r="E151" s="40"/>
      <c r="F151" s="40"/>
      <c r="G151" s="40"/>
      <c r="H151" s="40"/>
      <c r="I151" s="41" t="s">
        <v>149</v>
      </c>
      <c r="J151" s="41"/>
      <c r="K151" s="41"/>
      <c r="L151" s="41" t="s">
        <v>229</v>
      </c>
      <c r="M151" s="41"/>
      <c r="N151" s="41"/>
      <c r="O151" s="42" t="s">
        <v>200</v>
      </c>
      <c r="P151" s="43"/>
      <c r="Q151" s="27">
        <f>89000</f>
        <v>89000</v>
      </c>
      <c r="R151" s="28"/>
      <c r="S151" s="28"/>
      <c r="T151" s="32" t="s">
        <v>55</v>
      </c>
      <c r="U151" s="32"/>
      <c r="V151" s="32"/>
      <c r="W151" s="32"/>
      <c r="X151" s="32"/>
      <c r="Y151" s="29">
        <v>0</v>
      </c>
      <c r="Z151" s="30"/>
    </row>
    <row r="152" spans="1:26" s="1" customFormat="1" ht="14.1" customHeight="1" x14ac:dyDescent="0.2">
      <c r="A152" s="40" t="s">
        <v>150</v>
      </c>
      <c r="B152" s="40"/>
      <c r="C152" s="40"/>
      <c r="D152" s="40"/>
      <c r="E152" s="40"/>
      <c r="F152" s="40"/>
      <c r="G152" s="40"/>
      <c r="H152" s="40"/>
      <c r="I152" s="41" t="s">
        <v>149</v>
      </c>
      <c r="J152" s="41"/>
      <c r="K152" s="41"/>
      <c r="L152" s="41" t="s">
        <v>230</v>
      </c>
      <c r="M152" s="41"/>
      <c r="N152" s="41"/>
      <c r="O152" s="42" t="s">
        <v>152</v>
      </c>
      <c r="P152" s="43"/>
      <c r="Q152" s="27">
        <f>6350000</f>
        <v>6350000</v>
      </c>
      <c r="R152" s="28"/>
      <c r="S152" s="28"/>
      <c r="T152" s="28">
        <f>1354279.14</f>
        <v>1354279.14</v>
      </c>
      <c r="U152" s="28"/>
      <c r="V152" s="28"/>
      <c r="W152" s="28"/>
      <c r="X152" s="28"/>
      <c r="Y152" s="29">
        <f t="shared" si="2"/>
        <v>21.327230551181099</v>
      </c>
      <c r="Z152" s="30"/>
    </row>
    <row r="153" spans="1:26" s="1" customFormat="1" ht="14.1" customHeight="1" x14ac:dyDescent="0.2">
      <c r="A153" s="40" t="s">
        <v>153</v>
      </c>
      <c r="B153" s="40"/>
      <c r="C153" s="40"/>
      <c r="D153" s="40"/>
      <c r="E153" s="40"/>
      <c r="F153" s="40"/>
      <c r="G153" s="40"/>
      <c r="H153" s="40"/>
      <c r="I153" s="41" t="s">
        <v>149</v>
      </c>
      <c r="J153" s="41"/>
      <c r="K153" s="41"/>
      <c r="L153" s="41" t="s">
        <v>230</v>
      </c>
      <c r="M153" s="41"/>
      <c r="N153" s="41"/>
      <c r="O153" s="42" t="s">
        <v>154</v>
      </c>
      <c r="P153" s="43"/>
      <c r="Q153" s="27">
        <f>50000</f>
        <v>50000</v>
      </c>
      <c r="R153" s="28"/>
      <c r="S153" s="28"/>
      <c r="T153" s="28">
        <f>5917.86</f>
        <v>5917.86</v>
      </c>
      <c r="U153" s="28"/>
      <c r="V153" s="28"/>
      <c r="W153" s="28"/>
      <c r="X153" s="28"/>
      <c r="Y153" s="29">
        <f t="shared" si="2"/>
        <v>11.83572</v>
      </c>
      <c r="Z153" s="30"/>
    </row>
    <row r="154" spans="1:26" s="1" customFormat="1" ht="14.1" customHeight="1" x14ac:dyDescent="0.2">
      <c r="A154" s="40" t="s">
        <v>231</v>
      </c>
      <c r="B154" s="40"/>
      <c r="C154" s="40"/>
      <c r="D154" s="40"/>
      <c r="E154" s="40"/>
      <c r="F154" s="40"/>
      <c r="G154" s="40"/>
      <c r="H154" s="40"/>
      <c r="I154" s="41" t="s">
        <v>149</v>
      </c>
      <c r="J154" s="41"/>
      <c r="K154" s="41"/>
      <c r="L154" s="41" t="s">
        <v>232</v>
      </c>
      <c r="M154" s="41"/>
      <c r="N154" s="41"/>
      <c r="O154" s="42" t="s">
        <v>233</v>
      </c>
      <c r="P154" s="43"/>
      <c r="Q154" s="27">
        <f>50000</f>
        <v>50000</v>
      </c>
      <c r="R154" s="28"/>
      <c r="S154" s="28"/>
      <c r="T154" s="32" t="s">
        <v>55</v>
      </c>
      <c r="U154" s="32"/>
      <c r="V154" s="32"/>
      <c r="W154" s="32"/>
      <c r="X154" s="32"/>
      <c r="Y154" s="29">
        <v>0</v>
      </c>
      <c r="Z154" s="30"/>
    </row>
    <row r="155" spans="1:26" s="1" customFormat="1" ht="14.1" customHeight="1" x14ac:dyDescent="0.2">
      <c r="A155" s="40" t="s">
        <v>155</v>
      </c>
      <c r="B155" s="40"/>
      <c r="C155" s="40"/>
      <c r="D155" s="40"/>
      <c r="E155" s="40"/>
      <c r="F155" s="40"/>
      <c r="G155" s="40"/>
      <c r="H155" s="40"/>
      <c r="I155" s="41" t="s">
        <v>149</v>
      </c>
      <c r="J155" s="41"/>
      <c r="K155" s="41"/>
      <c r="L155" s="41" t="s">
        <v>234</v>
      </c>
      <c r="M155" s="41"/>
      <c r="N155" s="41"/>
      <c r="O155" s="42" t="s">
        <v>157</v>
      </c>
      <c r="P155" s="43"/>
      <c r="Q155" s="27">
        <f>1948000</f>
        <v>1948000</v>
      </c>
      <c r="R155" s="28"/>
      <c r="S155" s="28"/>
      <c r="T155" s="28">
        <f>353697.29</f>
        <v>353697.29</v>
      </c>
      <c r="U155" s="28"/>
      <c r="V155" s="28"/>
      <c r="W155" s="28"/>
      <c r="X155" s="28"/>
      <c r="Y155" s="29">
        <f t="shared" si="2"/>
        <v>18.156945071868584</v>
      </c>
      <c r="Z155" s="30"/>
    </row>
    <row r="156" spans="1:26" s="1" customFormat="1" ht="14.1" customHeight="1" x14ac:dyDescent="0.2">
      <c r="A156" s="40" t="s">
        <v>174</v>
      </c>
      <c r="B156" s="40"/>
      <c r="C156" s="40"/>
      <c r="D156" s="40"/>
      <c r="E156" s="40"/>
      <c r="F156" s="40"/>
      <c r="G156" s="40"/>
      <c r="H156" s="40"/>
      <c r="I156" s="41" t="s">
        <v>149</v>
      </c>
      <c r="J156" s="41"/>
      <c r="K156" s="41"/>
      <c r="L156" s="41" t="s">
        <v>235</v>
      </c>
      <c r="M156" s="41"/>
      <c r="N156" s="41"/>
      <c r="O156" s="42" t="s">
        <v>176</v>
      </c>
      <c r="P156" s="43"/>
      <c r="Q156" s="27">
        <f>20000</f>
        <v>20000</v>
      </c>
      <c r="R156" s="28"/>
      <c r="S156" s="28"/>
      <c r="T156" s="28">
        <f>6259.51</f>
        <v>6259.51</v>
      </c>
      <c r="U156" s="28"/>
      <c r="V156" s="28"/>
      <c r="W156" s="28"/>
      <c r="X156" s="28"/>
      <c r="Y156" s="29">
        <f t="shared" si="2"/>
        <v>31.297550000000001</v>
      </c>
      <c r="Z156" s="30"/>
    </row>
    <row r="157" spans="1:26" s="1" customFormat="1" ht="14.1" customHeight="1" x14ac:dyDescent="0.2">
      <c r="A157" s="40" t="s">
        <v>213</v>
      </c>
      <c r="B157" s="40"/>
      <c r="C157" s="40"/>
      <c r="D157" s="40"/>
      <c r="E157" s="40"/>
      <c r="F157" s="40"/>
      <c r="G157" s="40"/>
      <c r="H157" s="40"/>
      <c r="I157" s="41" t="s">
        <v>149</v>
      </c>
      <c r="J157" s="41"/>
      <c r="K157" s="41"/>
      <c r="L157" s="41" t="s">
        <v>235</v>
      </c>
      <c r="M157" s="41"/>
      <c r="N157" s="41"/>
      <c r="O157" s="42" t="s">
        <v>215</v>
      </c>
      <c r="P157" s="43"/>
      <c r="Q157" s="31" t="s">
        <v>55</v>
      </c>
      <c r="R157" s="32"/>
      <c r="S157" s="32"/>
      <c r="T157" s="28">
        <f>32683.52</f>
        <v>32683.52</v>
      </c>
      <c r="U157" s="28"/>
      <c r="V157" s="28"/>
      <c r="W157" s="28"/>
      <c r="X157" s="28"/>
      <c r="Y157" s="29">
        <v>0</v>
      </c>
      <c r="Z157" s="30"/>
    </row>
    <row r="158" spans="1:26" s="1" customFormat="1" ht="14.1" customHeight="1" x14ac:dyDescent="0.2">
      <c r="A158" s="40" t="s">
        <v>180</v>
      </c>
      <c r="B158" s="40"/>
      <c r="C158" s="40"/>
      <c r="D158" s="40"/>
      <c r="E158" s="40"/>
      <c r="F158" s="40"/>
      <c r="G158" s="40"/>
      <c r="H158" s="40"/>
      <c r="I158" s="41" t="s">
        <v>149</v>
      </c>
      <c r="J158" s="41"/>
      <c r="K158" s="41"/>
      <c r="L158" s="41" t="s">
        <v>235</v>
      </c>
      <c r="M158" s="41"/>
      <c r="N158" s="41"/>
      <c r="O158" s="42" t="s">
        <v>182</v>
      </c>
      <c r="P158" s="43"/>
      <c r="Q158" s="27">
        <f>20000</f>
        <v>20000</v>
      </c>
      <c r="R158" s="28"/>
      <c r="S158" s="28"/>
      <c r="T158" s="28">
        <f>5551.96</f>
        <v>5551.96</v>
      </c>
      <c r="U158" s="28"/>
      <c r="V158" s="28"/>
      <c r="W158" s="28"/>
      <c r="X158" s="28"/>
      <c r="Y158" s="29">
        <f t="shared" si="2"/>
        <v>27.759800000000002</v>
      </c>
      <c r="Z158" s="30"/>
    </row>
    <row r="159" spans="1:26" s="1" customFormat="1" ht="14.1" customHeight="1" x14ac:dyDescent="0.2">
      <c r="A159" s="40" t="s">
        <v>183</v>
      </c>
      <c r="B159" s="40"/>
      <c r="C159" s="40"/>
      <c r="D159" s="40"/>
      <c r="E159" s="40"/>
      <c r="F159" s="40"/>
      <c r="G159" s="40"/>
      <c r="H159" s="40"/>
      <c r="I159" s="41" t="s">
        <v>149</v>
      </c>
      <c r="J159" s="41"/>
      <c r="K159" s="41"/>
      <c r="L159" s="41" t="s">
        <v>235</v>
      </c>
      <c r="M159" s="41"/>
      <c r="N159" s="41"/>
      <c r="O159" s="42" t="s">
        <v>184</v>
      </c>
      <c r="P159" s="43"/>
      <c r="Q159" s="27">
        <f>500000</f>
        <v>500000</v>
      </c>
      <c r="R159" s="28"/>
      <c r="S159" s="28"/>
      <c r="T159" s="28">
        <f>9517.5</f>
        <v>9517.5</v>
      </c>
      <c r="U159" s="28"/>
      <c r="V159" s="28"/>
      <c r="W159" s="28"/>
      <c r="X159" s="28"/>
      <c r="Y159" s="29">
        <f t="shared" si="2"/>
        <v>1.9035</v>
      </c>
      <c r="Z159" s="30"/>
    </row>
    <row r="160" spans="1:26" s="1" customFormat="1" ht="14.1" customHeight="1" x14ac:dyDescent="0.2">
      <c r="A160" s="40" t="s">
        <v>171</v>
      </c>
      <c r="B160" s="40"/>
      <c r="C160" s="40"/>
      <c r="D160" s="40"/>
      <c r="E160" s="40"/>
      <c r="F160" s="40"/>
      <c r="G160" s="40"/>
      <c r="H160" s="40"/>
      <c r="I160" s="41" t="s">
        <v>149</v>
      </c>
      <c r="J160" s="41"/>
      <c r="K160" s="41"/>
      <c r="L160" s="41" t="s">
        <v>235</v>
      </c>
      <c r="M160" s="41"/>
      <c r="N160" s="41"/>
      <c r="O160" s="42" t="s">
        <v>173</v>
      </c>
      <c r="P160" s="43"/>
      <c r="Q160" s="27">
        <f>1395000</f>
        <v>1395000</v>
      </c>
      <c r="R160" s="28"/>
      <c r="S160" s="28"/>
      <c r="T160" s="28">
        <f>242551.6</f>
        <v>242551.6</v>
      </c>
      <c r="U160" s="28"/>
      <c r="V160" s="28"/>
      <c r="W160" s="28"/>
      <c r="X160" s="28"/>
      <c r="Y160" s="29">
        <f t="shared" si="2"/>
        <v>17.387211469534051</v>
      </c>
      <c r="Z160" s="30"/>
    </row>
    <row r="161" spans="1:26" s="1" customFormat="1" ht="14.1" customHeight="1" x14ac:dyDescent="0.2">
      <c r="A161" s="40" t="s">
        <v>160</v>
      </c>
      <c r="B161" s="40"/>
      <c r="C161" s="40"/>
      <c r="D161" s="40"/>
      <c r="E161" s="40"/>
      <c r="F161" s="40"/>
      <c r="G161" s="40"/>
      <c r="H161" s="40"/>
      <c r="I161" s="41" t="s">
        <v>149</v>
      </c>
      <c r="J161" s="41"/>
      <c r="K161" s="41"/>
      <c r="L161" s="41" t="s">
        <v>235</v>
      </c>
      <c r="M161" s="41"/>
      <c r="N161" s="41"/>
      <c r="O161" s="42" t="s">
        <v>162</v>
      </c>
      <c r="P161" s="43"/>
      <c r="Q161" s="27">
        <f>65000</f>
        <v>65000</v>
      </c>
      <c r="R161" s="28"/>
      <c r="S161" s="28"/>
      <c r="T161" s="28">
        <f>24218.25</f>
        <v>24218.25</v>
      </c>
      <c r="U161" s="28"/>
      <c r="V161" s="28"/>
      <c r="W161" s="28"/>
      <c r="X161" s="28"/>
      <c r="Y161" s="29">
        <f t="shared" si="2"/>
        <v>37.25884615384615</v>
      </c>
      <c r="Z161" s="30"/>
    </row>
    <row r="162" spans="1:26" s="1" customFormat="1" ht="14.1" customHeight="1" x14ac:dyDescent="0.2">
      <c r="A162" s="40" t="s">
        <v>180</v>
      </c>
      <c r="B162" s="40"/>
      <c r="C162" s="40"/>
      <c r="D162" s="40"/>
      <c r="E162" s="40"/>
      <c r="F162" s="40"/>
      <c r="G162" s="40"/>
      <c r="H162" s="40"/>
      <c r="I162" s="41" t="s">
        <v>149</v>
      </c>
      <c r="J162" s="41"/>
      <c r="K162" s="41"/>
      <c r="L162" s="41" t="s">
        <v>236</v>
      </c>
      <c r="M162" s="41"/>
      <c r="N162" s="41"/>
      <c r="O162" s="42" t="s">
        <v>182</v>
      </c>
      <c r="P162" s="43"/>
      <c r="Q162" s="27">
        <f>1200000</f>
        <v>1200000</v>
      </c>
      <c r="R162" s="28"/>
      <c r="S162" s="28"/>
      <c r="T162" s="28">
        <f>326764.69</f>
        <v>326764.69</v>
      </c>
      <c r="U162" s="28"/>
      <c r="V162" s="28"/>
      <c r="W162" s="28"/>
      <c r="X162" s="28"/>
      <c r="Y162" s="29">
        <f t="shared" si="2"/>
        <v>27.230390833333335</v>
      </c>
      <c r="Z162" s="30"/>
    </row>
    <row r="163" spans="1:26" s="1" customFormat="1" ht="24" customHeight="1" x14ac:dyDescent="0.2">
      <c r="A163" s="40" t="s">
        <v>192</v>
      </c>
      <c r="B163" s="40"/>
      <c r="C163" s="40"/>
      <c r="D163" s="40"/>
      <c r="E163" s="40"/>
      <c r="F163" s="40"/>
      <c r="G163" s="40"/>
      <c r="H163" s="40"/>
      <c r="I163" s="41" t="s">
        <v>149</v>
      </c>
      <c r="J163" s="41"/>
      <c r="K163" s="41"/>
      <c r="L163" s="41" t="s">
        <v>237</v>
      </c>
      <c r="M163" s="41"/>
      <c r="N163" s="41"/>
      <c r="O163" s="42" t="s">
        <v>194</v>
      </c>
      <c r="P163" s="43"/>
      <c r="Q163" s="27">
        <f>1000</f>
        <v>1000</v>
      </c>
      <c r="R163" s="28"/>
      <c r="S163" s="28"/>
      <c r="T163" s="32" t="s">
        <v>55</v>
      </c>
      <c r="U163" s="32"/>
      <c r="V163" s="32"/>
      <c r="W163" s="32"/>
      <c r="X163" s="32"/>
      <c r="Y163" s="29">
        <v>0</v>
      </c>
      <c r="Z163" s="30"/>
    </row>
    <row r="164" spans="1:26" s="1" customFormat="1" ht="24" customHeight="1" x14ac:dyDescent="0.2">
      <c r="A164" s="40" t="s">
        <v>195</v>
      </c>
      <c r="B164" s="40"/>
      <c r="C164" s="40"/>
      <c r="D164" s="40"/>
      <c r="E164" s="40"/>
      <c r="F164" s="40"/>
      <c r="G164" s="40"/>
      <c r="H164" s="40"/>
      <c r="I164" s="41" t="s">
        <v>149</v>
      </c>
      <c r="J164" s="41"/>
      <c r="K164" s="41"/>
      <c r="L164" s="41" t="s">
        <v>237</v>
      </c>
      <c r="M164" s="41"/>
      <c r="N164" s="41"/>
      <c r="O164" s="42" t="s">
        <v>196</v>
      </c>
      <c r="P164" s="43"/>
      <c r="Q164" s="27">
        <f>4000</f>
        <v>4000</v>
      </c>
      <c r="R164" s="28"/>
      <c r="S164" s="28"/>
      <c r="T164" s="28">
        <f>31.31</f>
        <v>31.31</v>
      </c>
      <c r="U164" s="28"/>
      <c r="V164" s="28"/>
      <c r="W164" s="28"/>
      <c r="X164" s="28"/>
      <c r="Y164" s="29">
        <f t="shared" si="2"/>
        <v>0.78274999999999995</v>
      </c>
      <c r="Z164" s="30"/>
    </row>
    <row r="165" spans="1:26" s="1" customFormat="1" ht="14.1" customHeight="1" x14ac:dyDescent="0.2">
      <c r="A165" s="40" t="s">
        <v>177</v>
      </c>
      <c r="B165" s="40"/>
      <c r="C165" s="40"/>
      <c r="D165" s="40"/>
      <c r="E165" s="40"/>
      <c r="F165" s="40"/>
      <c r="G165" s="40"/>
      <c r="H165" s="40"/>
      <c r="I165" s="41" t="s">
        <v>149</v>
      </c>
      <c r="J165" s="41"/>
      <c r="K165" s="41"/>
      <c r="L165" s="41" t="s">
        <v>238</v>
      </c>
      <c r="M165" s="41"/>
      <c r="N165" s="41"/>
      <c r="O165" s="42" t="s">
        <v>178</v>
      </c>
      <c r="P165" s="43"/>
      <c r="Q165" s="27">
        <f>200000</f>
        <v>200000</v>
      </c>
      <c r="R165" s="28"/>
      <c r="S165" s="28"/>
      <c r="T165" s="32" t="s">
        <v>55</v>
      </c>
      <c r="U165" s="32"/>
      <c r="V165" s="32"/>
      <c r="W165" s="32"/>
      <c r="X165" s="32"/>
      <c r="Y165" s="29">
        <v>0</v>
      </c>
      <c r="Z165" s="30"/>
    </row>
    <row r="166" spans="1:26" s="1" customFormat="1" ht="14.1" customHeight="1" x14ac:dyDescent="0.2">
      <c r="A166" s="40" t="s">
        <v>150</v>
      </c>
      <c r="B166" s="40"/>
      <c r="C166" s="40"/>
      <c r="D166" s="40"/>
      <c r="E166" s="40"/>
      <c r="F166" s="40"/>
      <c r="G166" s="40"/>
      <c r="H166" s="40"/>
      <c r="I166" s="41" t="s">
        <v>149</v>
      </c>
      <c r="J166" s="41"/>
      <c r="K166" s="41"/>
      <c r="L166" s="41" t="s">
        <v>239</v>
      </c>
      <c r="M166" s="41"/>
      <c r="N166" s="41"/>
      <c r="O166" s="42" t="s">
        <v>152</v>
      </c>
      <c r="P166" s="43"/>
      <c r="Q166" s="27">
        <f>2150000</f>
        <v>2150000</v>
      </c>
      <c r="R166" s="28"/>
      <c r="S166" s="28"/>
      <c r="T166" s="28">
        <f>467329.49</f>
        <v>467329.49</v>
      </c>
      <c r="U166" s="28"/>
      <c r="V166" s="28"/>
      <c r="W166" s="28"/>
      <c r="X166" s="28"/>
      <c r="Y166" s="29">
        <f t="shared" si="2"/>
        <v>21.736255348837208</v>
      </c>
      <c r="Z166" s="30"/>
    </row>
    <row r="167" spans="1:26" s="1" customFormat="1" ht="14.1" customHeight="1" x14ac:dyDescent="0.2">
      <c r="A167" s="40" t="s">
        <v>153</v>
      </c>
      <c r="B167" s="40"/>
      <c r="C167" s="40"/>
      <c r="D167" s="40"/>
      <c r="E167" s="40"/>
      <c r="F167" s="40"/>
      <c r="G167" s="40"/>
      <c r="H167" s="40"/>
      <c r="I167" s="41" t="s">
        <v>149</v>
      </c>
      <c r="J167" s="41"/>
      <c r="K167" s="41"/>
      <c r="L167" s="41" t="s">
        <v>239</v>
      </c>
      <c r="M167" s="41"/>
      <c r="N167" s="41"/>
      <c r="O167" s="42" t="s">
        <v>154</v>
      </c>
      <c r="P167" s="43"/>
      <c r="Q167" s="27">
        <f>50000</f>
        <v>50000</v>
      </c>
      <c r="R167" s="28"/>
      <c r="S167" s="28"/>
      <c r="T167" s="28">
        <f>682.91</f>
        <v>682.91</v>
      </c>
      <c r="U167" s="28"/>
      <c r="V167" s="28"/>
      <c r="W167" s="28"/>
      <c r="X167" s="28"/>
      <c r="Y167" s="29">
        <f t="shared" si="2"/>
        <v>1.3658199999999998</v>
      </c>
      <c r="Z167" s="30"/>
    </row>
    <row r="168" spans="1:26" s="1" customFormat="1" ht="14.1" customHeight="1" x14ac:dyDescent="0.2">
      <c r="A168" s="40" t="s">
        <v>231</v>
      </c>
      <c r="B168" s="40"/>
      <c r="C168" s="40"/>
      <c r="D168" s="40"/>
      <c r="E168" s="40"/>
      <c r="F168" s="40"/>
      <c r="G168" s="40"/>
      <c r="H168" s="40"/>
      <c r="I168" s="41" t="s">
        <v>149</v>
      </c>
      <c r="J168" s="41"/>
      <c r="K168" s="41"/>
      <c r="L168" s="41" t="s">
        <v>240</v>
      </c>
      <c r="M168" s="41"/>
      <c r="N168" s="41"/>
      <c r="O168" s="42" t="s">
        <v>233</v>
      </c>
      <c r="P168" s="43"/>
      <c r="Q168" s="27">
        <f>21000</f>
        <v>21000</v>
      </c>
      <c r="R168" s="28"/>
      <c r="S168" s="28"/>
      <c r="T168" s="32" t="s">
        <v>55</v>
      </c>
      <c r="U168" s="32"/>
      <c r="V168" s="32"/>
      <c r="W168" s="32"/>
      <c r="X168" s="32"/>
      <c r="Y168" s="29">
        <v>0</v>
      </c>
      <c r="Z168" s="30"/>
    </row>
    <row r="169" spans="1:26" s="1" customFormat="1" ht="14.1" customHeight="1" x14ac:dyDescent="0.2">
      <c r="A169" s="40" t="s">
        <v>155</v>
      </c>
      <c r="B169" s="40"/>
      <c r="C169" s="40"/>
      <c r="D169" s="40"/>
      <c r="E169" s="40"/>
      <c r="F169" s="40"/>
      <c r="G169" s="40"/>
      <c r="H169" s="40"/>
      <c r="I169" s="41" t="s">
        <v>149</v>
      </c>
      <c r="J169" s="41"/>
      <c r="K169" s="41"/>
      <c r="L169" s="41" t="s">
        <v>241</v>
      </c>
      <c r="M169" s="41"/>
      <c r="N169" s="41"/>
      <c r="O169" s="42" t="s">
        <v>157</v>
      </c>
      <c r="P169" s="43"/>
      <c r="Q169" s="27">
        <f>584000</f>
        <v>584000</v>
      </c>
      <c r="R169" s="28"/>
      <c r="S169" s="28"/>
      <c r="T169" s="28">
        <f>123728.75</f>
        <v>123728.75</v>
      </c>
      <c r="U169" s="28"/>
      <c r="V169" s="28"/>
      <c r="W169" s="28"/>
      <c r="X169" s="28"/>
      <c r="Y169" s="29">
        <f t="shared" si="2"/>
        <v>21.186429794520549</v>
      </c>
      <c r="Z169" s="30"/>
    </row>
    <row r="170" spans="1:26" s="1" customFormat="1" ht="14.1" customHeight="1" x14ac:dyDescent="0.2">
      <c r="A170" s="40" t="s">
        <v>174</v>
      </c>
      <c r="B170" s="40"/>
      <c r="C170" s="40"/>
      <c r="D170" s="40"/>
      <c r="E170" s="40"/>
      <c r="F170" s="40"/>
      <c r="G170" s="40"/>
      <c r="H170" s="40"/>
      <c r="I170" s="41" t="s">
        <v>149</v>
      </c>
      <c r="J170" s="41"/>
      <c r="K170" s="41"/>
      <c r="L170" s="41" t="s">
        <v>242</v>
      </c>
      <c r="M170" s="41"/>
      <c r="N170" s="41"/>
      <c r="O170" s="42" t="s">
        <v>176</v>
      </c>
      <c r="P170" s="43"/>
      <c r="Q170" s="27">
        <f>50000</f>
        <v>50000</v>
      </c>
      <c r="R170" s="28"/>
      <c r="S170" s="28"/>
      <c r="T170" s="28">
        <f>10749.6</f>
        <v>10749.6</v>
      </c>
      <c r="U170" s="28"/>
      <c r="V170" s="28"/>
      <c r="W170" s="28"/>
      <c r="X170" s="28"/>
      <c r="Y170" s="29">
        <f t="shared" si="2"/>
        <v>21.499200000000002</v>
      </c>
      <c r="Z170" s="30"/>
    </row>
    <row r="171" spans="1:26" s="1" customFormat="1" ht="14.1" customHeight="1" x14ac:dyDescent="0.2">
      <c r="A171" s="40" t="s">
        <v>180</v>
      </c>
      <c r="B171" s="40"/>
      <c r="C171" s="40"/>
      <c r="D171" s="40"/>
      <c r="E171" s="40"/>
      <c r="F171" s="40"/>
      <c r="G171" s="40"/>
      <c r="H171" s="40"/>
      <c r="I171" s="41" t="s">
        <v>149</v>
      </c>
      <c r="J171" s="41"/>
      <c r="K171" s="41"/>
      <c r="L171" s="41" t="s">
        <v>242</v>
      </c>
      <c r="M171" s="41"/>
      <c r="N171" s="41"/>
      <c r="O171" s="42" t="s">
        <v>182</v>
      </c>
      <c r="P171" s="43"/>
      <c r="Q171" s="27">
        <f>1500</f>
        <v>1500</v>
      </c>
      <c r="R171" s="28"/>
      <c r="S171" s="28"/>
      <c r="T171" s="28">
        <f>444.96</f>
        <v>444.96</v>
      </c>
      <c r="U171" s="28"/>
      <c r="V171" s="28"/>
      <c r="W171" s="28"/>
      <c r="X171" s="28"/>
      <c r="Y171" s="29">
        <f t="shared" si="2"/>
        <v>29.663999999999994</v>
      </c>
      <c r="Z171" s="30"/>
    </row>
    <row r="172" spans="1:26" s="1" customFormat="1" ht="14.1" customHeight="1" x14ac:dyDescent="0.2">
      <c r="A172" s="40" t="s">
        <v>183</v>
      </c>
      <c r="B172" s="40"/>
      <c r="C172" s="40"/>
      <c r="D172" s="40"/>
      <c r="E172" s="40"/>
      <c r="F172" s="40"/>
      <c r="G172" s="40"/>
      <c r="H172" s="40"/>
      <c r="I172" s="41" t="s">
        <v>149</v>
      </c>
      <c r="J172" s="41"/>
      <c r="K172" s="41"/>
      <c r="L172" s="41" t="s">
        <v>242</v>
      </c>
      <c r="M172" s="41"/>
      <c r="N172" s="41"/>
      <c r="O172" s="42" t="s">
        <v>184</v>
      </c>
      <c r="P172" s="43"/>
      <c r="Q172" s="27">
        <f>1500</f>
        <v>1500</v>
      </c>
      <c r="R172" s="28"/>
      <c r="S172" s="28"/>
      <c r="T172" s="32" t="s">
        <v>55</v>
      </c>
      <c r="U172" s="32"/>
      <c r="V172" s="32"/>
      <c r="W172" s="32"/>
      <c r="X172" s="32"/>
      <c r="Y172" s="29">
        <v>0</v>
      </c>
      <c r="Z172" s="30"/>
    </row>
    <row r="173" spans="1:26" s="1" customFormat="1" ht="14.1" customHeight="1" x14ac:dyDescent="0.2">
      <c r="A173" s="40" t="s">
        <v>171</v>
      </c>
      <c r="B173" s="40"/>
      <c r="C173" s="40"/>
      <c r="D173" s="40"/>
      <c r="E173" s="40"/>
      <c r="F173" s="40"/>
      <c r="G173" s="40"/>
      <c r="H173" s="40"/>
      <c r="I173" s="41" t="s">
        <v>149</v>
      </c>
      <c r="J173" s="41"/>
      <c r="K173" s="41"/>
      <c r="L173" s="41" t="s">
        <v>242</v>
      </c>
      <c r="M173" s="41"/>
      <c r="N173" s="41"/>
      <c r="O173" s="42" t="s">
        <v>173</v>
      </c>
      <c r="P173" s="43"/>
      <c r="Q173" s="27">
        <f>157000</f>
        <v>157000</v>
      </c>
      <c r="R173" s="28"/>
      <c r="S173" s="28"/>
      <c r="T173" s="28">
        <f>2200</f>
        <v>2200</v>
      </c>
      <c r="U173" s="28"/>
      <c r="V173" s="28"/>
      <c r="W173" s="28"/>
      <c r="X173" s="28"/>
      <c r="Y173" s="29">
        <f t="shared" si="2"/>
        <v>1.4012738853503186</v>
      </c>
      <c r="Z173" s="30"/>
    </row>
    <row r="174" spans="1:26" s="1" customFormat="1" ht="14.1" customHeight="1" x14ac:dyDescent="0.2">
      <c r="A174" s="40" t="s">
        <v>160</v>
      </c>
      <c r="B174" s="40"/>
      <c r="C174" s="40"/>
      <c r="D174" s="40"/>
      <c r="E174" s="40"/>
      <c r="F174" s="40"/>
      <c r="G174" s="40"/>
      <c r="H174" s="40"/>
      <c r="I174" s="41" t="s">
        <v>149</v>
      </c>
      <c r="J174" s="41"/>
      <c r="K174" s="41"/>
      <c r="L174" s="41" t="s">
        <v>242</v>
      </c>
      <c r="M174" s="41"/>
      <c r="N174" s="41"/>
      <c r="O174" s="42" t="s">
        <v>162</v>
      </c>
      <c r="P174" s="43"/>
      <c r="Q174" s="27">
        <f>10000</f>
        <v>10000</v>
      </c>
      <c r="R174" s="28"/>
      <c r="S174" s="28"/>
      <c r="T174" s="28">
        <f>8860</f>
        <v>8860</v>
      </c>
      <c r="U174" s="28"/>
      <c r="V174" s="28"/>
      <c r="W174" s="28"/>
      <c r="X174" s="28"/>
      <c r="Y174" s="29">
        <f t="shared" si="2"/>
        <v>88.6</v>
      </c>
      <c r="Z174" s="30"/>
    </row>
    <row r="175" spans="1:26" s="1" customFormat="1" ht="24" customHeight="1" x14ac:dyDescent="0.2">
      <c r="A175" s="40" t="s">
        <v>192</v>
      </c>
      <c r="B175" s="40"/>
      <c r="C175" s="40"/>
      <c r="D175" s="40"/>
      <c r="E175" s="40"/>
      <c r="F175" s="40"/>
      <c r="G175" s="40"/>
      <c r="H175" s="40"/>
      <c r="I175" s="41" t="s">
        <v>149</v>
      </c>
      <c r="J175" s="41"/>
      <c r="K175" s="41"/>
      <c r="L175" s="41" t="s">
        <v>243</v>
      </c>
      <c r="M175" s="41"/>
      <c r="N175" s="41"/>
      <c r="O175" s="42" t="s">
        <v>194</v>
      </c>
      <c r="P175" s="43"/>
      <c r="Q175" s="27">
        <f>5000</f>
        <v>5000</v>
      </c>
      <c r="R175" s="28"/>
      <c r="S175" s="28"/>
      <c r="T175" s="32" t="s">
        <v>55</v>
      </c>
      <c r="U175" s="32"/>
      <c r="V175" s="32"/>
      <c r="W175" s="32"/>
      <c r="X175" s="32"/>
      <c r="Y175" s="29">
        <v>0</v>
      </c>
      <c r="Z175" s="30"/>
    </row>
    <row r="176" spans="1:26" s="1" customFormat="1" ht="14.1" customHeight="1" x14ac:dyDescent="0.2">
      <c r="A176" s="40" t="s">
        <v>177</v>
      </c>
      <c r="B176" s="40"/>
      <c r="C176" s="40"/>
      <c r="D176" s="40"/>
      <c r="E176" s="40"/>
      <c r="F176" s="40"/>
      <c r="G176" s="40"/>
      <c r="H176" s="40"/>
      <c r="I176" s="41" t="s">
        <v>149</v>
      </c>
      <c r="J176" s="41"/>
      <c r="K176" s="41"/>
      <c r="L176" s="41" t="s">
        <v>244</v>
      </c>
      <c r="M176" s="41"/>
      <c r="N176" s="41"/>
      <c r="O176" s="42" t="s">
        <v>178</v>
      </c>
      <c r="P176" s="43"/>
      <c r="Q176" s="27">
        <f>300000</f>
        <v>300000</v>
      </c>
      <c r="R176" s="28"/>
      <c r="S176" s="28"/>
      <c r="T176" s="32" t="s">
        <v>55</v>
      </c>
      <c r="U176" s="32"/>
      <c r="V176" s="32"/>
      <c r="W176" s="32"/>
      <c r="X176" s="32"/>
      <c r="Y176" s="29">
        <v>0</v>
      </c>
      <c r="Z176" s="30"/>
    </row>
    <row r="177" spans="1:26" s="1" customFormat="1" ht="24" customHeight="1" x14ac:dyDescent="0.2">
      <c r="A177" s="40" t="s">
        <v>198</v>
      </c>
      <c r="B177" s="40"/>
      <c r="C177" s="40"/>
      <c r="D177" s="40"/>
      <c r="E177" s="40"/>
      <c r="F177" s="40"/>
      <c r="G177" s="40"/>
      <c r="H177" s="40"/>
      <c r="I177" s="41" t="s">
        <v>149</v>
      </c>
      <c r="J177" s="41"/>
      <c r="K177" s="41"/>
      <c r="L177" s="41" t="s">
        <v>245</v>
      </c>
      <c r="M177" s="41"/>
      <c r="N177" s="41"/>
      <c r="O177" s="42" t="s">
        <v>200</v>
      </c>
      <c r="P177" s="43"/>
      <c r="Q177" s="27">
        <f>600000</f>
        <v>600000</v>
      </c>
      <c r="R177" s="28"/>
      <c r="S177" s="28"/>
      <c r="T177" s="28">
        <f>22952</f>
        <v>22952</v>
      </c>
      <c r="U177" s="28"/>
      <c r="V177" s="28"/>
      <c r="W177" s="28"/>
      <c r="X177" s="28"/>
      <c r="Y177" s="29">
        <f t="shared" si="2"/>
        <v>3.8253333333333335</v>
      </c>
      <c r="Z177" s="30"/>
    </row>
    <row r="178" spans="1:26" s="1" customFormat="1" ht="24" customHeight="1" x14ac:dyDescent="0.2">
      <c r="A178" s="40" t="s">
        <v>246</v>
      </c>
      <c r="B178" s="40"/>
      <c r="C178" s="40"/>
      <c r="D178" s="40"/>
      <c r="E178" s="40"/>
      <c r="F178" s="40"/>
      <c r="G178" s="40"/>
      <c r="H178" s="40"/>
      <c r="I178" s="41" t="s">
        <v>149</v>
      </c>
      <c r="J178" s="41"/>
      <c r="K178" s="41"/>
      <c r="L178" s="41" t="s">
        <v>247</v>
      </c>
      <c r="M178" s="41"/>
      <c r="N178" s="41"/>
      <c r="O178" s="42" t="s">
        <v>248</v>
      </c>
      <c r="P178" s="43"/>
      <c r="Q178" s="27">
        <f>400000</f>
        <v>400000</v>
      </c>
      <c r="R178" s="28"/>
      <c r="S178" s="28"/>
      <c r="T178" s="28">
        <f>84202.83</f>
        <v>84202.83</v>
      </c>
      <c r="U178" s="28"/>
      <c r="V178" s="28"/>
      <c r="W178" s="28"/>
      <c r="X178" s="28"/>
      <c r="Y178" s="29">
        <f t="shared" si="2"/>
        <v>21.050707500000001</v>
      </c>
      <c r="Z178" s="30"/>
    </row>
    <row r="179" spans="1:26" s="1" customFormat="1" ht="14.1" customHeight="1" x14ac:dyDescent="0.2">
      <c r="A179" s="40" t="s">
        <v>213</v>
      </c>
      <c r="B179" s="40"/>
      <c r="C179" s="40"/>
      <c r="D179" s="40"/>
      <c r="E179" s="40"/>
      <c r="F179" s="40"/>
      <c r="G179" s="40"/>
      <c r="H179" s="40"/>
      <c r="I179" s="41" t="s">
        <v>149</v>
      </c>
      <c r="J179" s="41"/>
      <c r="K179" s="41"/>
      <c r="L179" s="41" t="s">
        <v>249</v>
      </c>
      <c r="M179" s="41"/>
      <c r="N179" s="41"/>
      <c r="O179" s="42" t="s">
        <v>215</v>
      </c>
      <c r="P179" s="43"/>
      <c r="Q179" s="27">
        <f>50000</f>
        <v>50000</v>
      </c>
      <c r="R179" s="28"/>
      <c r="S179" s="28"/>
      <c r="T179" s="28">
        <f>27600</f>
        <v>27600</v>
      </c>
      <c r="U179" s="28"/>
      <c r="V179" s="28"/>
      <c r="W179" s="28"/>
      <c r="X179" s="28"/>
      <c r="Y179" s="29">
        <f t="shared" si="2"/>
        <v>55.2</v>
      </c>
      <c r="Z179" s="30"/>
    </row>
    <row r="180" spans="1:26" s="1" customFormat="1" ht="14.1" customHeight="1" x14ac:dyDescent="0.2">
      <c r="A180" s="40" t="s">
        <v>171</v>
      </c>
      <c r="B180" s="40"/>
      <c r="C180" s="40"/>
      <c r="D180" s="40"/>
      <c r="E180" s="40"/>
      <c r="F180" s="40"/>
      <c r="G180" s="40"/>
      <c r="H180" s="40"/>
      <c r="I180" s="41" t="s">
        <v>149</v>
      </c>
      <c r="J180" s="41"/>
      <c r="K180" s="41"/>
      <c r="L180" s="41" t="s">
        <v>249</v>
      </c>
      <c r="M180" s="41"/>
      <c r="N180" s="41"/>
      <c r="O180" s="42" t="s">
        <v>173</v>
      </c>
      <c r="P180" s="43"/>
      <c r="Q180" s="27">
        <f>400000</f>
        <v>400000</v>
      </c>
      <c r="R180" s="28"/>
      <c r="S180" s="28"/>
      <c r="T180" s="28">
        <f>61850</f>
        <v>61850</v>
      </c>
      <c r="U180" s="28"/>
      <c r="V180" s="28"/>
      <c r="W180" s="28"/>
      <c r="X180" s="28"/>
      <c r="Y180" s="29">
        <f t="shared" si="2"/>
        <v>15.462500000000002</v>
      </c>
      <c r="Z180" s="30"/>
    </row>
    <row r="181" spans="1:26" s="1" customFormat="1" ht="24" customHeight="1" thickBot="1" x14ac:dyDescent="0.25">
      <c r="A181" s="40" t="s">
        <v>198</v>
      </c>
      <c r="B181" s="40"/>
      <c r="C181" s="40"/>
      <c r="D181" s="40"/>
      <c r="E181" s="40"/>
      <c r="F181" s="40"/>
      <c r="G181" s="40"/>
      <c r="H181" s="40"/>
      <c r="I181" s="41" t="s">
        <v>149</v>
      </c>
      <c r="J181" s="41"/>
      <c r="K181" s="41"/>
      <c r="L181" s="41" t="s">
        <v>249</v>
      </c>
      <c r="M181" s="41"/>
      <c r="N181" s="41"/>
      <c r="O181" s="42" t="s">
        <v>200</v>
      </c>
      <c r="P181" s="43"/>
      <c r="Q181" s="33">
        <f>50000</f>
        <v>50000</v>
      </c>
      <c r="R181" s="34"/>
      <c r="S181" s="34"/>
      <c r="T181" s="45" t="s">
        <v>55</v>
      </c>
      <c r="U181" s="45"/>
      <c r="V181" s="45"/>
      <c r="W181" s="45"/>
      <c r="X181" s="45"/>
      <c r="Y181" s="35">
        <v>0</v>
      </c>
      <c r="Z181" s="36"/>
    </row>
    <row r="182" spans="1:26" s="1" customFormat="1" ht="15" customHeight="1" thickBot="1" x14ac:dyDescent="0.25">
      <c r="A182" s="49" t="s">
        <v>250</v>
      </c>
      <c r="B182" s="49"/>
      <c r="C182" s="49"/>
      <c r="D182" s="49"/>
      <c r="E182" s="49"/>
      <c r="F182" s="49"/>
      <c r="G182" s="49"/>
      <c r="H182" s="49"/>
      <c r="I182" s="46" t="s">
        <v>251</v>
      </c>
      <c r="J182" s="46"/>
      <c r="K182" s="46"/>
      <c r="L182" s="46" t="s">
        <v>16</v>
      </c>
      <c r="M182" s="46"/>
      <c r="N182" s="46"/>
      <c r="O182" s="47" t="s">
        <v>16</v>
      </c>
      <c r="P182" s="47"/>
      <c r="Q182" s="48">
        <f>-19886213.65</f>
        <v>-19886213.649999999</v>
      </c>
      <c r="R182" s="48"/>
      <c r="S182" s="48"/>
      <c r="T182" s="48">
        <f>2758881.13</f>
        <v>2758881.13</v>
      </c>
      <c r="U182" s="48"/>
      <c r="V182" s="48"/>
      <c r="W182" s="48"/>
      <c r="X182" s="48"/>
      <c r="Y182" s="44" t="s">
        <v>16</v>
      </c>
      <c r="Z182" s="44"/>
    </row>
    <row r="183" spans="1:26" s="1" customFormat="1" ht="14.1" customHeight="1" x14ac:dyDescent="0.2">
      <c r="A183" s="50" t="s">
        <v>0</v>
      </c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s="1" customFormat="1" ht="14.1" customHeight="1" x14ac:dyDescent="0.2">
      <c r="A184" s="9" t="s">
        <v>252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s="1" customFormat="1" ht="45.95" customHeight="1" x14ac:dyDescent="0.2">
      <c r="A185" s="10" t="s">
        <v>2</v>
      </c>
      <c r="B185" s="10"/>
      <c r="C185" s="10"/>
      <c r="D185" s="10"/>
      <c r="E185" s="10"/>
      <c r="F185" s="10"/>
      <c r="G185" s="10"/>
      <c r="H185" s="10"/>
      <c r="I185" s="10"/>
      <c r="J185" s="10" t="s">
        <v>3</v>
      </c>
      <c r="K185" s="10"/>
      <c r="L185" s="10"/>
      <c r="M185" s="10" t="s">
        <v>253</v>
      </c>
      <c r="N185" s="10"/>
      <c r="O185" s="10"/>
      <c r="P185" s="11" t="s">
        <v>5</v>
      </c>
      <c r="Q185" s="11"/>
      <c r="R185" s="11"/>
      <c r="S185" s="11" t="s">
        <v>6</v>
      </c>
      <c r="T185" s="11"/>
      <c r="U185" s="11"/>
      <c r="V185" s="11"/>
      <c r="W185" s="11"/>
      <c r="X185" s="12" t="s">
        <v>7</v>
      </c>
      <c r="Y185" s="12"/>
      <c r="Z185" s="12"/>
    </row>
    <row r="186" spans="1:26" s="1" customFormat="1" ht="12.95" customHeight="1" x14ac:dyDescent="0.2">
      <c r="A186" s="13" t="s">
        <v>8</v>
      </c>
      <c r="B186" s="13"/>
      <c r="C186" s="13"/>
      <c r="D186" s="13"/>
      <c r="E186" s="13"/>
      <c r="F186" s="13"/>
      <c r="G186" s="13"/>
      <c r="H186" s="13"/>
      <c r="I186" s="13"/>
      <c r="J186" s="13" t="s">
        <v>9</v>
      </c>
      <c r="K186" s="13"/>
      <c r="L186" s="13"/>
      <c r="M186" s="13" t="s">
        <v>10</v>
      </c>
      <c r="N186" s="13"/>
      <c r="O186" s="13"/>
      <c r="P186" s="14" t="s">
        <v>11</v>
      </c>
      <c r="Q186" s="14"/>
      <c r="R186" s="14"/>
      <c r="S186" s="14" t="s">
        <v>12</v>
      </c>
      <c r="T186" s="14"/>
      <c r="U186" s="14"/>
      <c r="V186" s="14"/>
      <c r="W186" s="14"/>
      <c r="X186" s="15" t="s">
        <v>13</v>
      </c>
      <c r="Y186" s="15"/>
      <c r="Z186" s="15"/>
    </row>
    <row r="187" spans="1:26" s="1" customFormat="1" ht="14.1" customHeight="1" x14ac:dyDescent="0.2">
      <c r="A187" s="16" t="s">
        <v>254</v>
      </c>
      <c r="B187" s="16"/>
      <c r="C187" s="16"/>
      <c r="D187" s="16"/>
      <c r="E187" s="16"/>
      <c r="F187" s="16"/>
      <c r="G187" s="16"/>
      <c r="H187" s="16"/>
      <c r="I187" s="16"/>
      <c r="J187" s="17" t="s">
        <v>255</v>
      </c>
      <c r="K187" s="17"/>
      <c r="L187" s="17"/>
      <c r="M187" s="17" t="s">
        <v>16</v>
      </c>
      <c r="N187" s="17"/>
      <c r="O187" s="17"/>
      <c r="P187" s="51">
        <f>19886213.65</f>
        <v>19886213.649999999</v>
      </c>
      <c r="Q187" s="51"/>
      <c r="R187" s="51"/>
      <c r="S187" s="52">
        <f>-2758881.13</f>
        <v>-2758881.13</v>
      </c>
      <c r="T187" s="52"/>
      <c r="U187" s="52"/>
      <c r="V187" s="52"/>
      <c r="W187" s="52"/>
      <c r="X187" s="53" t="s">
        <v>16</v>
      </c>
      <c r="Y187" s="53"/>
      <c r="Z187" s="53"/>
    </row>
    <row r="188" spans="1:26" s="1" customFormat="1" ht="14.1" customHeight="1" x14ac:dyDescent="0.2">
      <c r="A188" s="54" t="s">
        <v>256</v>
      </c>
      <c r="B188" s="54"/>
      <c r="C188" s="54"/>
      <c r="D188" s="54"/>
      <c r="E188" s="54"/>
      <c r="F188" s="54"/>
      <c r="G188" s="54"/>
      <c r="H188" s="54"/>
      <c r="I188" s="54"/>
      <c r="J188" s="55" t="s">
        <v>0</v>
      </c>
      <c r="K188" s="55"/>
      <c r="L188" s="55"/>
      <c r="M188" s="55" t="s">
        <v>0</v>
      </c>
      <c r="N188" s="55"/>
      <c r="O188" s="55"/>
      <c r="P188" s="56" t="s">
        <v>0</v>
      </c>
      <c r="Q188" s="56"/>
      <c r="R188" s="56"/>
      <c r="S188" s="57" t="s">
        <v>0</v>
      </c>
      <c r="T188" s="57"/>
      <c r="U188" s="57"/>
      <c r="V188" s="57"/>
      <c r="W188" s="57"/>
      <c r="X188" s="58" t="s">
        <v>0</v>
      </c>
      <c r="Y188" s="58"/>
      <c r="Z188" s="58"/>
    </row>
    <row r="189" spans="1:26" s="1" customFormat="1" ht="14.1" customHeight="1" x14ac:dyDescent="0.2">
      <c r="A189" s="20" t="s">
        <v>257</v>
      </c>
      <c r="B189" s="20"/>
      <c r="C189" s="20"/>
      <c r="D189" s="20"/>
      <c r="E189" s="20"/>
      <c r="F189" s="20"/>
      <c r="G189" s="20"/>
      <c r="H189" s="20"/>
      <c r="I189" s="20"/>
      <c r="J189" s="59" t="s">
        <v>258</v>
      </c>
      <c r="K189" s="59"/>
      <c r="L189" s="59"/>
      <c r="M189" s="21" t="s">
        <v>16</v>
      </c>
      <c r="N189" s="21"/>
      <c r="O189" s="21"/>
      <c r="P189" s="60" t="s">
        <v>55</v>
      </c>
      <c r="Q189" s="60"/>
      <c r="R189" s="60"/>
      <c r="S189" s="61" t="s">
        <v>55</v>
      </c>
      <c r="T189" s="61"/>
      <c r="U189" s="61"/>
      <c r="V189" s="61"/>
      <c r="W189" s="61"/>
      <c r="X189" s="62" t="s">
        <v>55</v>
      </c>
      <c r="Y189" s="62"/>
      <c r="Z189" s="62"/>
    </row>
    <row r="190" spans="1:26" s="1" customFormat="1" ht="14.1" customHeight="1" x14ac:dyDescent="0.2">
      <c r="A190" s="42" t="s">
        <v>0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s="1" customFormat="1" ht="14.1" customHeight="1" x14ac:dyDescent="0.2">
      <c r="A191" s="40" t="s">
        <v>259</v>
      </c>
      <c r="B191" s="40"/>
      <c r="C191" s="40"/>
      <c r="D191" s="40"/>
      <c r="E191" s="40"/>
      <c r="F191" s="40"/>
      <c r="G191" s="40"/>
      <c r="H191" s="40"/>
      <c r="I191" s="40"/>
      <c r="J191" s="55" t="s">
        <v>260</v>
      </c>
      <c r="K191" s="55"/>
      <c r="L191" s="55"/>
      <c r="M191" s="55" t="s">
        <v>16</v>
      </c>
      <c r="N191" s="55"/>
      <c r="O191" s="55"/>
      <c r="P191" s="56" t="s">
        <v>55</v>
      </c>
      <c r="Q191" s="56"/>
      <c r="R191" s="56"/>
      <c r="S191" s="63" t="s">
        <v>55</v>
      </c>
      <c r="T191" s="63"/>
      <c r="U191" s="63"/>
      <c r="V191" s="63"/>
      <c r="W191" s="63"/>
      <c r="X191" s="58" t="s">
        <v>55</v>
      </c>
      <c r="Y191" s="58"/>
      <c r="Z191" s="58"/>
    </row>
    <row r="192" spans="1:26" s="1" customFormat="1" ht="14.1" customHeight="1" x14ac:dyDescent="0.2">
      <c r="A192" s="40" t="s">
        <v>0</v>
      </c>
      <c r="B192" s="40"/>
      <c r="C192" s="40"/>
      <c r="D192" s="40"/>
      <c r="E192" s="40"/>
      <c r="F192" s="40"/>
      <c r="G192" s="40"/>
      <c r="H192" s="40"/>
      <c r="I192" s="40"/>
      <c r="J192" s="41" t="s">
        <v>260</v>
      </c>
      <c r="K192" s="41"/>
      <c r="L192" s="41"/>
      <c r="M192" s="41" t="s">
        <v>0</v>
      </c>
      <c r="N192" s="41"/>
      <c r="O192" s="41"/>
      <c r="P192" s="64" t="s">
        <v>55</v>
      </c>
      <c r="Q192" s="64"/>
      <c r="R192" s="64"/>
      <c r="S192" s="63" t="s">
        <v>55</v>
      </c>
      <c r="T192" s="63"/>
      <c r="U192" s="63"/>
      <c r="V192" s="63"/>
      <c r="W192" s="63"/>
      <c r="X192" s="65" t="s">
        <v>55</v>
      </c>
      <c r="Y192" s="65"/>
      <c r="Z192" s="65"/>
    </row>
    <row r="193" spans="1:26" s="1" customFormat="1" ht="14.1" customHeight="1" x14ac:dyDescent="0.2">
      <c r="A193" s="40" t="s">
        <v>261</v>
      </c>
      <c r="B193" s="40"/>
      <c r="C193" s="40"/>
      <c r="D193" s="40"/>
      <c r="E193" s="40"/>
      <c r="F193" s="40"/>
      <c r="G193" s="40"/>
      <c r="H193" s="40"/>
      <c r="I193" s="40"/>
      <c r="J193" s="41" t="s">
        <v>262</v>
      </c>
      <c r="K193" s="41"/>
      <c r="L193" s="41"/>
      <c r="M193" s="41" t="s">
        <v>263</v>
      </c>
      <c r="N193" s="41"/>
      <c r="O193" s="41"/>
      <c r="P193" s="66">
        <f>19886213.65</f>
        <v>19886213.649999999</v>
      </c>
      <c r="Q193" s="66"/>
      <c r="R193" s="66"/>
      <c r="S193" s="67">
        <f>-2758881.13</f>
        <v>-2758881.13</v>
      </c>
      <c r="T193" s="67"/>
      <c r="U193" s="67"/>
      <c r="V193" s="67"/>
      <c r="W193" s="67"/>
      <c r="X193" s="68">
        <f>22645094.78</f>
        <v>22645094.780000001</v>
      </c>
      <c r="Y193" s="68"/>
      <c r="Z193" s="68"/>
    </row>
    <row r="194" spans="1:26" s="1" customFormat="1" ht="14.1" customHeight="1" x14ac:dyDescent="0.2">
      <c r="A194" s="40" t="s">
        <v>264</v>
      </c>
      <c r="B194" s="40"/>
      <c r="C194" s="40"/>
      <c r="D194" s="40"/>
      <c r="E194" s="40"/>
      <c r="F194" s="40"/>
      <c r="G194" s="40"/>
      <c r="H194" s="40"/>
      <c r="I194" s="40"/>
      <c r="J194" s="41" t="s">
        <v>265</v>
      </c>
      <c r="K194" s="41"/>
      <c r="L194" s="41"/>
      <c r="M194" s="41" t="s">
        <v>266</v>
      </c>
      <c r="N194" s="41"/>
      <c r="O194" s="41"/>
      <c r="P194" s="66">
        <f>-59968296</f>
        <v>-59968296</v>
      </c>
      <c r="Q194" s="66"/>
      <c r="R194" s="66"/>
      <c r="S194" s="67">
        <f>-19057593.07</f>
        <v>-19057593.07</v>
      </c>
      <c r="T194" s="67"/>
      <c r="U194" s="67"/>
      <c r="V194" s="67"/>
      <c r="W194" s="67"/>
      <c r="X194" s="69" t="s">
        <v>16</v>
      </c>
      <c r="Y194" s="69"/>
      <c r="Z194" s="69"/>
    </row>
    <row r="195" spans="1:26" s="1" customFormat="1" ht="14.1" customHeight="1" x14ac:dyDescent="0.2">
      <c r="A195" s="40" t="s">
        <v>267</v>
      </c>
      <c r="B195" s="40"/>
      <c r="C195" s="40"/>
      <c r="D195" s="40"/>
      <c r="E195" s="40"/>
      <c r="F195" s="40"/>
      <c r="G195" s="40"/>
      <c r="H195" s="40"/>
      <c r="I195" s="40"/>
      <c r="J195" s="41" t="s">
        <v>265</v>
      </c>
      <c r="K195" s="41"/>
      <c r="L195" s="41"/>
      <c r="M195" s="41" t="s">
        <v>268</v>
      </c>
      <c r="N195" s="41"/>
      <c r="O195" s="41"/>
      <c r="P195" s="66">
        <f>-59968296</f>
        <v>-59968296</v>
      </c>
      <c r="Q195" s="66"/>
      <c r="R195" s="66"/>
      <c r="S195" s="67">
        <f>-19057593.07</f>
        <v>-19057593.07</v>
      </c>
      <c r="T195" s="67"/>
      <c r="U195" s="67"/>
      <c r="V195" s="67"/>
      <c r="W195" s="67"/>
      <c r="X195" s="69" t="s">
        <v>16</v>
      </c>
      <c r="Y195" s="69"/>
      <c r="Z195" s="69"/>
    </row>
    <row r="196" spans="1:26" s="1" customFormat="1" ht="14.1" customHeight="1" x14ac:dyDescent="0.2">
      <c r="A196" s="40" t="s">
        <v>269</v>
      </c>
      <c r="B196" s="40"/>
      <c r="C196" s="40"/>
      <c r="D196" s="40"/>
      <c r="E196" s="40"/>
      <c r="F196" s="40"/>
      <c r="G196" s="40"/>
      <c r="H196" s="40"/>
      <c r="I196" s="40"/>
      <c r="J196" s="41" t="s">
        <v>265</v>
      </c>
      <c r="K196" s="41"/>
      <c r="L196" s="41"/>
      <c r="M196" s="41" t="s">
        <v>270</v>
      </c>
      <c r="N196" s="41"/>
      <c r="O196" s="41"/>
      <c r="P196" s="66">
        <f>-59968296</f>
        <v>-59968296</v>
      </c>
      <c r="Q196" s="66"/>
      <c r="R196" s="66"/>
      <c r="S196" s="67">
        <f>-19057593.07</f>
        <v>-19057593.07</v>
      </c>
      <c r="T196" s="67"/>
      <c r="U196" s="67"/>
      <c r="V196" s="67"/>
      <c r="W196" s="67"/>
      <c r="X196" s="69" t="s">
        <v>16</v>
      </c>
      <c r="Y196" s="69"/>
      <c r="Z196" s="69"/>
    </row>
    <row r="197" spans="1:26" s="1" customFormat="1" ht="14.1" customHeight="1" x14ac:dyDescent="0.2">
      <c r="A197" s="40" t="s">
        <v>271</v>
      </c>
      <c r="B197" s="40"/>
      <c r="C197" s="40"/>
      <c r="D197" s="40"/>
      <c r="E197" s="40"/>
      <c r="F197" s="40"/>
      <c r="G197" s="40"/>
      <c r="H197" s="40"/>
      <c r="I197" s="40"/>
      <c r="J197" s="41" t="s">
        <v>265</v>
      </c>
      <c r="K197" s="41"/>
      <c r="L197" s="41"/>
      <c r="M197" s="41" t="s">
        <v>272</v>
      </c>
      <c r="N197" s="41"/>
      <c r="O197" s="41"/>
      <c r="P197" s="66">
        <f>-59968296</f>
        <v>-59968296</v>
      </c>
      <c r="Q197" s="66"/>
      <c r="R197" s="66"/>
      <c r="S197" s="67">
        <f>-19057593.07</f>
        <v>-19057593.07</v>
      </c>
      <c r="T197" s="67"/>
      <c r="U197" s="67"/>
      <c r="V197" s="67"/>
      <c r="W197" s="67"/>
      <c r="X197" s="69" t="s">
        <v>16</v>
      </c>
      <c r="Y197" s="69"/>
      <c r="Z197" s="69"/>
    </row>
    <row r="198" spans="1:26" s="1" customFormat="1" ht="14.1" customHeight="1" x14ac:dyDescent="0.2">
      <c r="A198" s="40" t="s">
        <v>273</v>
      </c>
      <c r="B198" s="40"/>
      <c r="C198" s="40"/>
      <c r="D198" s="40"/>
      <c r="E198" s="40"/>
      <c r="F198" s="40"/>
      <c r="G198" s="40"/>
      <c r="H198" s="40"/>
      <c r="I198" s="40"/>
      <c r="J198" s="41" t="s">
        <v>274</v>
      </c>
      <c r="K198" s="41"/>
      <c r="L198" s="41"/>
      <c r="M198" s="41" t="s">
        <v>275</v>
      </c>
      <c r="N198" s="41"/>
      <c r="O198" s="41"/>
      <c r="P198" s="66">
        <f>79854509.65</f>
        <v>79854509.650000006</v>
      </c>
      <c r="Q198" s="66"/>
      <c r="R198" s="66"/>
      <c r="S198" s="67">
        <f>16298711.94</f>
        <v>16298711.939999999</v>
      </c>
      <c r="T198" s="67"/>
      <c r="U198" s="67"/>
      <c r="V198" s="67"/>
      <c r="W198" s="67"/>
      <c r="X198" s="69" t="s">
        <v>16</v>
      </c>
      <c r="Y198" s="69"/>
      <c r="Z198" s="69"/>
    </row>
    <row r="199" spans="1:26" s="1" customFormat="1" ht="14.1" customHeight="1" x14ac:dyDescent="0.2">
      <c r="A199" s="40" t="s">
        <v>276</v>
      </c>
      <c r="B199" s="40"/>
      <c r="C199" s="40"/>
      <c r="D199" s="40"/>
      <c r="E199" s="40"/>
      <c r="F199" s="40"/>
      <c r="G199" s="40"/>
      <c r="H199" s="40"/>
      <c r="I199" s="40"/>
      <c r="J199" s="41" t="s">
        <v>274</v>
      </c>
      <c r="K199" s="41"/>
      <c r="L199" s="41"/>
      <c r="M199" s="41" t="s">
        <v>277</v>
      </c>
      <c r="N199" s="41"/>
      <c r="O199" s="41"/>
      <c r="P199" s="66">
        <f>79854509.65</f>
        <v>79854509.650000006</v>
      </c>
      <c r="Q199" s="66"/>
      <c r="R199" s="66"/>
      <c r="S199" s="67">
        <f>16298711.94</f>
        <v>16298711.939999999</v>
      </c>
      <c r="T199" s="67"/>
      <c r="U199" s="67"/>
      <c r="V199" s="67"/>
      <c r="W199" s="67"/>
      <c r="X199" s="69" t="s">
        <v>16</v>
      </c>
      <c r="Y199" s="69"/>
      <c r="Z199" s="69"/>
    </row>
    <row r="200" spans="1:26" s="1" customFormat="1" ht="14.1" customHeight="1" x14ac:dyDescent="0.2">
      <c r="A200" s="40" t="s">
        <v>278</v>
      </c>
      <c r="B200" s="40"/>
      <c r="C200" s="40"/>
      <c r="D200" s="40"/>
      <c r="E200" s="40"/>
      <c r="F200" s="40"/>
      <c r="G200" s="40"/>
      <c r="H200" s="40"/>
      <c r="I200" s="40"/>
      <c r="J200" s="41" t="s">
        <v>274</v>
      </c>
      <c r="K200" s="41"/>
      <c r="L200" s="41"/>
      <c r="M200" s="41" t="s">
        <v>279</v>
      </c>
      <c r="N200" s="41"/>
      <c r="O200" s="41"/>
      <c r="P200" s="66">
        <f>79854509.65</f>
        <v>79854509.650000006</v>
      </c>
      <c r="Q200" s="66"/>
      <c r="R200" s="66"/>
      <c r="S200" s="67">
        <f>16298711.94</f>
        <v>16298711.939999999</v>
      </c>
      <c r="T200" s="67"/>
      <c r="U200" s="67"/>
      <c r="V200" s="67"/>
      <c r="W200" s="67"/>
      <c r="X200" s="69" t="s">
        <v>16</v>
      </c>
      <c r="Y200" s="69"/>
      <c r="Z200" s="69"/>
    </row>
    <row r="201" spans="1:26" s="1" customFormat="1" ht="14.1" customHeight="1" x14ac:dyDescent="0.2">
      <c r="A201" s="40" t="s">
        <v>280</v>
      </c>
      <c r="B201" s="40"/>
      <c r="C201" s="40"/>
      <c r="D201" s="40"/>
      <c r="E201" s="40"/>
      <c r="F201" s="40"/>
      <c r="G201" s="40"/>
      <c r="H201" s="40"/>
      <c r="I201" s="40"/>
      <c r="J201" s="41" t="s">
        <v>274</v>
      </c>
      <c r="K201" s="41"/>
      <c r="L201" s="41"/>
      <c r="M201" s="41" t="s">
        <v>281</v>
      </c>
      <c r="N201" s="41"/>
      <c r="O201" s="41"/>
      <c r="P201" s="66">
        <f>79854509.65</f>
        <v>79854509.650000006</v>
      </c>
      <c r="Q201" s="66"/>
      <c r="R201" s="66"/>
      <c r="S201" s="67">
        <f>16298711.94</f>
        <v>16298711.939999999</v>
      </c>
      <c r="T201" s="67"/>
      <c r="U201" s="67"/>
      <c r="V201" s="67"/>
      <c r="W201" s="67"/>
      <c r="X201" s="69" t="s">
        <v>16</v>
      </c>
      <c r="Y201" s="69"/>
      <c r="Z201" s="69"/>
    </row>
    <row r="202" spans="1:26" s="1" customFormat="1" ht="14.1" customHeight="1" x14ac:dyDescent="0.2">
      <c r="A202" s="72" t="s">
        <v>0</v>
      </c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s="1" customFormat="1" ht="14.1" customHeight="1" x14ac:dyDescent="0.2">
      <c r="A203" s="71"/>
      <c r="B203" s="71"/>
      <c r="C203" s="71"/>
      <c r="D203" s="71"/>
      <c r="E203" s="71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1:26" s="1" customFormat="1" ht="14.1" customHeight="1" x14ac:dyDescent="0.2">
      <c r="A204" s="71"/>
      <c r="B204" s="71"/>
      <c r="C204" s="71"/>
      <c r="D204" s="71"/>
      <c r="E204" s="71"/>
      <c r="F204" s="2"/>
      <c r="G204" s="70"/>
      <c r="H204" s="70"/>
      <c r="I204" s="70"/>
      <c r="J204" s="70"/>
      <c r="K204" s="71"/>
      <c r="L204" s="71"/>
      <c r="M204" s="2"/>
      <c r="N204" s="70"/>
      <c r="O204" s="70"/>
      <c r="P204" s="70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1:26" s="1" customFormat="1" ht="8.1" customHeight="1" x14ac:dyDescent="0.2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1:26" s="1" customFormat="1" ht="14.1" customHeight="1" x14ac:dyDescent="0.2">
      <c r="A206" s="71"/>
      <c r="B206" s="71"/>
      <c r="C206" s="71"/>
      <c r="D206" s="71"/>
      <c r="E206" s="71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1:26" s="1" customFormat="1" ht="14.1" customHeight="1" x14ac:dyDescent="0.2">
      <c r="A207" s="71"/>
      <c r="B207" s="71"/>
      <c r="C207" s="71"/>
      <c r="D207" s="71"/>
      <c r="E207" s="71"/>
      <c r="F207" s="2"/>
      <c r="G207" s="70"/>
      <c r="H207" s="70"/>
      <c r="I207" s="70"/>
      <c r="J207" s="70"/>
      <c r="K207" s="71"/>
      <c r="L207" s="71"/>
      <c r="M207" s="2"/>
      <c r="N207" s="70"/>
      <c r="O207" s="70"/>
      <c r="P207" s="70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1:26" s="1" customFormat="1" ht="15.95" customHeight="1" x14ac:dyDescent="0.2">
      <c r="A208" s="50" t="s">
        <v>0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s="1" customFormat="1" ht="14.1" customHeight="1" x14ac:dyDescent="0.2">
      <c r="A209" s="74"/>
      <c r="B209" s="74"/>
      <c r="C209" s="74"/>
      <c r="D209" s="74"/>
      <c r="E209" s="74"/>
      <c r="F209" s="74"/>
      <c r="G209" s="74"/>
      <c r="H209" s="50" t="s">
        <v>0</v>
      </c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s="1" customFormat="1" ht="14.1" customHeight="1" x14ac:dyDescent="0.2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</sheetData>
  <mergeCells count="1256">
    <mergeCell ref="A208:Z208"/>
    <mergeCell ref="A209:G209"/>
    <mergeCell ref="H209:Z209"/>
    <mergeCell ref="A210:Z210"/>
    <mergeCell ref="A205:Z205"/>
    <mergeCell ref="A206:E206"/>
    <mergeCell ref="F206:L206"/>
    <mergeCell ref="M206:Q206"/>
    <mergeCell ref="R206:Z206"/>
    <mergeCell ref="A207:E207"/>
    <mergeCell ref="G207:J207"/>
    <mergeCell ref="K207:L207"/>
    <mergeCell ref="N207:P207"/>
    <mergeCell ref="Q207:Z207"/>
    <mergeCell ref="A202:Z202"/>
    <mergeCell ref="A203:E203"/>
    <mergeCell ref="F203:L203"/>
    <mergeCell ref="M203:Q203"/>
    <mergeCell ref="R203:Z203"/>
    <mergeCell ref="A204:E204"/>
    <mergeCell ref="G204:J204"/>
    <mergeCell ref="K204:L204"/>
    <mergeCell ref="N204:P204"/>
    <mergeCell ref="Q204:Z204"/>
    <mergeCell ref="A201:I201"/>
    <mergeCell ref="J201:L201"/>
    <mergeCell ref="M201:O201"/>
    <mergeCell ref="P201:R201"/>
    <mergeCell ref="S201:W201"/>
    <mergeCell ref="X201:Z201"/>
    <mergeCell ref="A200:I200"/>
    <mergeCell ref="J200:L200"/>
    <mergeCell ref="M200:O200"/>
    <mergeCell ref="P200:R200"/>
    <mergeCell ref="S200:W200"/>
    <mergeCell ref="X200:Z200"/>
    <mergeCell ref="A199:I199"/>
    <mergeCell ref="J199:L199"/>
    <mergeCell ref="M199:O199"/>
    <mergeCell ref="P199:R199"/>
    <mergeCell ref="S199:W199"/>
    <mergeCell ref="X199:Z199"/>
    <mergeCell ref="A198:I198"/>
    <mergeCell ref="J198:L198"/>
    <mergeCell ref="M198:O198"/>
    <mergeCell ref="P198:R198"/>
    <mergeCell ref="S198:W198"/>
    <mergeCell ref="X198:Z198"/>
    <mergeCell ref="A197:I197"/>
    <mergeCell ref="J197:L197"/>
    <mergeCell ref="M197:O197"/>
    <mergeCell ref="P197:R197"/>
    <mergeCell ref="S197:W197"/>
    <mergeCell ref="X197:Z197"/>
    <mergeCell ref="A196:I196"/>
    <mergeCell ref="J196:L196"/>
    <mergeCell ref="M196:O196"/>
    <mergeCell ref="P196:R196"/>
    <mergeCell ref="S196:W196"/>
    <mergeCell ref="X196:Z196"/>
    <mergeCell ref="A195:I195"/>
    <mergeCell ref="J195:L195"/>
    <mergeCell ref="M195:O195"/>
    <mergeCell ref="P195:R195"/>
    <mergeCell ref="S195:W195"/>
    <mergeCell ref="X195:Z195"/>
    <mergeCell ref="A194:I194"/>
    <mergeCell ref="J194:L194"/>
    <mergeCell ref="M194:O194"/>
    <mergeCell ref="P194:R194"/>
    <mergeCell ref="S194:W194"/>
    <mergeCell ref="X194:Z194"/>
    <mergeCell ref="A193:I193"/>
    <mergeCell ref="J193:L193"/>
    <mergeCell ref="M193:O193"/>
    <mergeCell ref="P193:R193"/>
    <mergeCell ref="S193:W193"/>
    <mergeCell ref="X193:Z193"/>
    <mergeCell ref="A192:I192"/>
    <mergeCell ref="J192:L192"/>
    <mergeCell ref="M192:O192"/>
    <mergeCell ref="P192:R192"/>
    <mergeCell ref="S192:W192"/>
    <mergeCell ref="X192:Z192"/>
    <mergeCell ref="A190:Z190"/>
    <mergeCell ref="A191:I191"/>
    <mergeCell ref="J191:L191"/>
    <mergeCell ref="M191:O191"/>
    <mergeCell ref="P191:R191"/>
    <mergeCell ref="S191:W191"/>
    <mergeCell ref="X191:Z191"/>
    <mergeCell ref="A189:I189"/>
    <mergeCell ref="J189:L189"/>
    <mergeCell ref="M189:O189"/>
    <mergeCell ref="P189:R189"/>
    <mergeCell ref="S189:W189"/>
    <mergeCell ref="X189:Z189"/>
    <mergeCell ref="A188:I188"/>
    <mergeCell ref="J188:L188"/>
    <mergeCell ref="M188:O188"/>
    <mergeCell ref="P188:R188"/>
    <mergeCell ref="S188:W188"/>
    <mergeCell ref="X188:Z188"/>
    <mergeCell ref="A187:I187"/>
    <mergeCell ref="J187:L187"/>
    <mergeCell ref="M187:O187"/>
    <mergeCell ref="P187:R187"/>
    <mergeCell ref="S187:W187"/>
    <mergeCell ref="X187:Z187"/>
    <mergeCell ref="A186:I186"/>
    <mergeCell ref="J186:L186"/>
    <mergeCell ref="M186:O186"/>
    <mergeCell ref="P186:R186"/>
    <mergeCell ref="S186:W186"/>
    <mergeCell ref="A183:Z183"/>
    <mergeCell ref="A184:Z184"/>
    <mergeCell ref="A185:I185"/>
    <mergeCell ref="J185:L185"/>
    <mergeCell ref="X186:Z186"/>
    <mergeCell ref="A180:H180"/>
    <mergeCell ref="M185:O185"/>
    <mergeCell ref="P185:R185"/>
    <mergeCell ref="S185:W185"/>
    <mergeCell ref="X185:Z185"/>
    <mergeCell ref="I182:K182"/>
    <mergeCell ref="L182:N182"/>
    <mergeCell ref="O182:P182"/>
    <mergeCell ref="Q182:S182"/>
    <mergeCell ref="T182:X182"/>
    <mergeCell ref="Y181:Z181"/>
    <mergeCell ref="Y182:Z182"/>
    <mergeCell ref="A181:H181"/>
    <mergeCell ref="I181:K181"/>
    <mergeCell ref="L181:N181"/>
    <mergeCell ref="O181:P181"/>
    <mergeCell ref="Q181:S181"/>
    <mergeCell ref="T181:X181"/>
    <mergeCell ref="A182:H182"/>
    <mergeCell ref="I180:K180"/>
    <mergeCell ref="L180:N180"/>
    <mergeCell ref="O180:P180"/>
    <mergeCell ref="Q180:S180"/>
    <mergeCell ref="T180:X180"/>
    <mergeCell ref="Y178:Z178"/>
    <mergeCell ref="Y179:Z179"/>
    <mergeCell ref="Y180:Z180"/>
    <mergeCell ref="A179:H179"/>
    <mergeCell ref="I179:K179"/>
    <mergeCell ref="L179:N179"/>
    <mergeCell ref="O179:P179"/>
    <mergeCell ref="Q179:S179"/>
    <mergeCell ref="T179:X179"/>
    <mergeCell ref="A178:H178"/>
    <mergeCell ref="I178:K178"/>
    <mergeCell ref="L178:N178"/>
    <mergeCell ref="O178:P178"/>
    <mergeCell ref="Q178:S178"/>
    <mergeCell ref="T178:X178"/>
    <mergeCell ref="Y176:Z176"/>
    <mergeCell ref="A177:H177"/>
    <mergeCell ref="I177:K177"/>
    <mergeCell ref="L177:N177"/>
    <mergeCell ref="O177:P177"/>
    <mergeCell ref="Q177:S177"/>
    <mergeCell ref="T177:X177"/>
    <mergeCell ref="Y177:Z177"/>
    <mergeCell ref="A176:H176"/>
    <mergeCell ref="I176:K176"/>
    <mergeCell ref="L176:N176"/>
    <mergeCell ref="O176:P176"/>
    <mergeCell ref="Q176:S176"/>
    <mergeCell ref="T176:X176"/>
    <mergeCell ref="Y174:Z174"/>
    <mergeCell ref="A175:H175"/>
    <mergeCell ref="I175:K175"/>
    <mergeCell ref="L175:N175"/>
    <mergeCell ref="O175:P175"/>
    <mergeCell ref="Q175:S175"/>
    <mergeCell ref="T175:X175"/>
    <mergeCell ref="Y175:Z175"/>
    <mergeCell ref="A174:H174"/>
    <mergeCell ref="I174:K174"/>
    <mergeCell ref="L174:N174"/>
    <mergeCell ref="O174:P174"/>
    <mergeCell ref="Q174:S174"/>
    <mergeCell ref="T174:X174"/>
    <mergeCell ref="Y172:Z172"/>
    <mergeCell ref="A173:H173"/>
    <mergeCell ref="I173:K173"/>
    <mergeCell ref="L173:N173"/>
    <mergeCell ref="O173:P173"/>
    <mergeCell ref="Q173:S173"/>
    <mergeCell ref="T173:X173"/>
    <mergeCell ref="Y173:Z173"/>
    <mergeCell ref="A172:H172"/>
    <mergeCell ref="I172:K172"/>
    <mergeCell ref="L172:N172"/>
    <mergeCell ref="O172:P172"/>
    <mergeCell ref="Q172:S172"/>
    <mergeCell ref="T172:X172"/>
    <mergeCell ref="Y170:Z170"/>
    <mergeCell ref="A171:H171"/>
    <mergeCell ref="I171:K171"/>
    <mergeCell ref="L171:N171"/>
    <mergeCell ref="O171:P171"/>
    <mergeCell ref="Q171:S171"/>
    <mergeCell ref="T171:X171"/>
    <mergeCell ref="Y171:Z171"/>
    <mergeCell ref="A170:H170"/>
    <mergeCell ref="I170:K170"/>
    <mergeCell ref="L170:N170"/>
    <mergeCell ref="O170:P170"/>
    <mergeCell ref="Q170:S170"/>
    <mergeCell ref="T170:X170"/>
    <mergeCell ref="Y168:Z168"/>
    <mergeCell ref="A169:H169"/>
    <mergeCell ref="I169:K169"/>
    <mergeCell ref="L169:N169"/>
    <mergeCell ref="O169:P169"/>
    <mergeCell ref="Q169:S169"/>
    <mergeCell ref="T169:X169"/>
    <mergeCell ref="Y169:Z169"/>
    <mergeCell ref="A168:H168"/>
    <mergeCell ref="I168:K168"/>
    <mergeCell ref="L168:N168"/>
    <mergeCell ref="O168:P168"/>
    <mergeCell ref="Q168:S168"/>
    <mergeCell ref="T168:X168"/>
    <mergeCell ref="Y166:Z166"/>
    <mergeCell ref="A167:H167"/>
    <mergeCell ref="I167:K167"/>
    <mergeCell ref="L167:N167"/>
    <mergeCell ref="O167:P167"/>
    <mergeCell ref="Q167:S167"/>
    <mergeCell ref="T167:X167"/>
    <mergeCell ref="Y167:Z167"/>
    <mergeCell ref="A166:H166"/>
    <mergeCell ref="I166:K166"/>
    <mergeCell ref="L166:N166"/>
    <mergeCell ref="O166:P166"/>
    <mergeCell ref="Q166:S166"/>
    <mergeCell ref="T166:X166"/>
    <mergeCell ref="Y164:Z164"/>
    <mergeCell ref="A165:H165"/>
    <mergeCell ref="I165:K165"/>
    <mergeCell ref="L165:N165"/>
    <mergeCell ref="O165:P165"/>
    <mergeCell ref="Q165:S165"/>
    <mergeCell ref="T165:X165"/>
    <mergeCell ref="Y165:Z165"/>
    <mergeCell ref="A164:H164"/>
    <mergeCell ref="I164:K164"/>
    <mergeCell ref="L164:N164"/>
    <mergeCell ref="O164:P164"/>
    <mergeCell ref="Q164:S164"/>
    <mergeCell ref="T164:X164"/>
    <mergeCell ref="Y162:Z162"/>
    <mergeCell ref="A163:H163"/>
    <mergeCell ref="I163:K163"/>
    <mergeCell ref="L163:N163"/>
    <mergeCell ref="O163:P163"/>
    <mergeCell ref="Q163:S163"/>
    <mergeCell ref="T163:X163"/>
    <mergeCell ref="Y163:Z163"/>
    <mergeCell ref="A162:H162"/>
    <mergeCell ref="I162:K162"/>
    <mergeCell ref="L162:N162"/>
    <mergeCell ref="O162:P162"/>
    <mergeCell ref="Q162:S162"/>
    <mergeCell ref="T162:X162"/>
    <mergeCell ref="Y160:Z160"/>
    <mergeCell ref="A161:H161"/>
    <mergeCell ref="I161:K161"/>
    <mergeCell ref="L161:N161"/>
    <mergeCell ref="O161:P161"/>
    <mergeCell ref="Q161:S161"/>
    <mergeCell ref="T161:X161"/>
    <mergeCell ref="Y161:Z161"/>
    <mergeCell ref="A160:H160"/>
    <mergeCell ref="I160:K160"/>
    <mergeCell ref="L160:N160"/>
    <mergeCell ref="O160:P160"/>
    <mergeCell ref="Q160:S160"/>
    <mergeCell ref="T160:X160"/>
    <mergeCell ref="Y158:Z158"/>
    <mergeCell ref="A159:H159"/>
    <mergeCell ref="I159:K159"/>
    <mergeCell ref="L159:N159"/>
    <mergeCell ref="O159:P159"/>
    <mergeCell ref="Q159:S159"/>
    <mergeCell ref="T159:X159"/>
    <mergeCell ref="Y159:Z159"/>
    <mergeCell ref="A158:H158"/>
    <mergeCell ref="I158:K158"/>
    <mergeCell ref="L158:N158"/>
    <mergeCell ref="O158:P158"/>
    <mergeCell ref="Q158:S158"/>
    <mergeCell ref="T158:X158"/>
    <mergeCell ref="Y156:Z156"/>
    <mergeCell ref="A157:H157"/>
    <mergeCell ref="I157:K157"/>
    <mergeCell ref="L157:N157"/>
    <mergeCell ref="O157:P157"/>
    <mergeCell ref="Q157:S157"/>
    <mergeCell ref="T157:X157"/>
    <mergeCell ref="Y157:Z157"/>
    <mergeCell ref="A156:H156"/>
    <mergeCell ref="I156:K156"/>
    <mergeCell ref="L156:N156"/>
    <mergeCell ref="O156:P156"/>
    <mergeCell ref="Q156:S156"/>
    <mergeCell ref="T156:X156"/>
    <mergeCell ref="Y154:Z154"/>
    <mergeCell ref="A155:H155"/>
    <mergeCell ref="I155:K155"/>
    <mergeCell ref="L155:N155"/>
    <mergeCell ref="O155:P155"/>
    <mergeCell ref="Q155:S155"/>
    <mergeCell ref="T155:X155"/>
    <mergeCell ref="Y155:Z155"/>
    <mergeCell ref="A154:H154"/>
    <mergeCell ref="I154:K154"/>
    <mergeCell ref="L154:N154"/>
    <mergeCell ref="O154:P154"/>
    <mergeCell ref="Q154:S154"/>
    <mergeCell ref="T154:X154"/>
    <mergeCell ref="Y152:Z152"/>
    <mergeCell ref="A153:H153"/>
    <mergeCell ref="I153:K153"/>
    <mergeCell ref="L153:N153"/>
    <mergeCell ref="O153:P153"/>
    <mergeCell ref="Q153:S153"/>
    <mergeCell ref="T153:X153"/>
    <mergeCell ref="Y153:Z153"/>
    <mergeCell ref="A152:H152"/>
    <mergeCell ref="I152:K152"/>
    <mergeCell ref="L152:N152"/>
    <mergeCell ref="O152:P152"/>
    <mergeCell ref="Q152:S152"/>
    <mergeCell ref="T152:X152"/>
    <mergeCell ref="Y150:Z150"/>
    <mergeCell ref="A151:H151"/>
    <mergeCell ref="I151:K151"/>
    <mergeCell ref="L151:N151"/>
    <mergeCell ref="O151:P151"/>
    <mergeCell ref="Q151:S151"/>
    <mergeCell ref="T151:X151"/>
    <mergeCell ref="Y151:Z151"/>
    <mergeCell ref="A150:H150"/>
    <mergeCell ref="I150:K150"/>
    <mergeCell ref="L150:N150"/>
    <mergeCell ref="O150:P150"/>
    <mergeCell ref="Q150:S150"/>
    <mergeCell ref="T150:X150"/>
    <mergeCell ref="Y148:Z148"/>
    <mergeCell ref="A149:H149"/>
    <mergeCell ref="I149:K149"/>
    <mergeCell ref="L149:N149"/>
    <mergeCell ref="O149:P149"/>
    <mergeCell ref="Q149:S149"/>
    <mergeCell ref="T149:X149"/>
    <mergeCell ref="Y149:Z149"/>
    <mergeCell ref="A148:H148"/>
    <mergeCell ref="I148:K148"/>
    <mergeCell ref="L148:N148"/>
    <mergeCell ref="O148:P148"/>
    <mergeCell ref="Q148:S148"/>
    <mergeCell ref="T148:X148"/>
    <mergeCell ref="Y146:Z146"/>
    <mergeCell ref="A147:H147"/>
    <mergeCell ref="I147:K147"/>
    <mergeCell ref="L147:N147"/>
    <mergeCell ref="O147:P147"/>
    <mergeCell ref="Q147:S147"/>
    <mergeCell ref="T147:X147"/>
    <mergeCell ref="Y147:Z147"/>
    <mergeCell ref="A146:H146"/>
    <mergeCell ref="I146:K146"/>
    <mergeCell ref="L146:N146"/>
    <mergeCell ref="O146:P146"/>
    <mergeCell ref="Q146:S146"/>
    <mergeCell ref="T146:X146"/>
    <mergeCell ref="Y144:Z144"/>
    <mergeCell ref="A145:H145"/>
    <mergeCell ref="I145:K145"/>
    <mergeCell ref="L145:N145"/>
    <mergeCell ref="O145:P145"/>
    <mergeCell ref="Q145:S145"/>
    <mergeCell ref="T145:X145"/>
    <mergeCell ref="Y145:Z145"/>
    <mergeCell ref="A144:H144"/>
    <mergeCell ref="I144:K144"/>
    <mergeCell ref="L144:N144"/>
    <mergeCell ref="O144:P144"/>
    <mergeCell ref="Q144:S144"/>
    <mergeCell ref="T144:X144"/>
    <mergeCell ref="Y142:Z142"/>
    <mergeCell ref="A143:H143"/>
    <mergeCell ref="I143:K143"/>
    <mergeCell ref="L143:N143"/>
    <mergeCell ref="O143:P143"/>
    <mergeCell ref="Q143:S143"/>
    <mergeCell ref="T143:X143"/>
    <mergeCell ref="Y143:Z143"/>
    <mergeCell ref="A142:H142"/>
    <mergeCell ref="I142:K142"/>
    <mergeCell ref="L142:N142"/>
    <mergeCell ref="O142:P142"/>
    <mergeCell ref="Q142:S142"/>
    <mergeCell ref="T142:X142"/>
    <mergeCell ref="Y140:Z140"/>
    <mergeCell ref="A141:H141"/>
    <mergeCell ref="I141:K141"/>
    <mergeCell ref="L141:N141"/>
    <mergeCell ref="O141:P141"/>
    <mergeCell ref="Q141:S141"/>
    <mergeCell ref="T141:X141"/>
    <mergeCell ref="Y141:Z141"/>
    <mergeCell ref="A140:H140"/>
    <mergeCell ref="I140:K140"/>
    <mergeCell ref="L140:N140"/>
    <mergeCell ref="O140:P140"/>
    <mergeCell ref="Q140:S140"/>
    <mergeCell ref="T140:X140"/>
    <mergeCell ref="Y138:Z138"/>
    <mergeCell ref="A139:H139"/>
    <mergeCell ref="I139:K139"/>
    <mergeCell ref="L139:N139"/>
    <mergeCell ref="O139:P139"/>
    <mergeCell ref="Q139:S139"/>
    <mergeCell ref="T139:X139"/>
    <mergeCell ref="Y139:Z139"/>
    <mergeCell ref="A138:H138"/>
    <mergeCell ref="I138:K138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A77:Z77"/>
    <mergeCell ref="A78:Z78"/>
    <mergeCell ref="A79:H79"/>
    <mergeCell ref="I79:K79"/>
    <mergeCell ref="L79:N79"/>
    <mergeCell ref="O79:P79"/>
    <mergeCell ref="Q79:S79"/>
    <mergeCell ref="T79:X79"/>
    <mergeCell ref="Y79:Z79"/>
    <mergeCell ref="A76:I76"/>
    <mergeCell ref="J76:L76"/>
    <mergeCell ref="M76:O76"/>
    <mergeCell ref="P76:R76"/>
    <mergeCell ref="S76:W76"/>
    <mergeCell ref="X76:Z76"/>
    <mergeCell ref="A75:I75"/>
    <mergeCell ref="J75:L75"/>
    <mergeCell ref="M75:O75"/>
    <mergeCell ref="P75:R75"/>
    <mergeCell ref="S75:W75"/>
    <mergeCell ref="X75:Z75"/>
    <mergeCell ref="A74:I74"/>
    <mergeCell ref="J74:L74"/>
    <mergeCell ref="M74:O74"/>
    <mergeCell ref="P74:R74"/>
    <mergeCell ref="S74:W74"/>
    <mergeCell ref="X74:Z74"/>
    <mergeCell ref="A73:I73"/>
    <mergeCell ref="J73:L73"/>
    <mergeCell ref="M73:O73"/>
    <mergeCell ref="P73:R73"/>
    <mergeCell ref="S73:W73"/>
    <mergeCell ref="X73:Z73"/>
    <mergeCell ref="A72:I72"/>
    <mergeCell ref="J72:L72"/>
    <mergeCell ref="M72:O72"/>
    <mergeCell ref="P72:R72"/>
    <mergeCell ref="S72:W72"/>
    <mergeCell ref="X72:Z72"/>
    <mergeCell ref="A71:I71"/>
    <mergeCell ref="J71:L71"/>
    <mergeCell ref="M71:O71"/>
    <mergeCell ref="P71:R71"/>
    <mergeCell ref="S71:W71"/>
    <mergeCell ref="X71:Z71"/>
    <mergeCell ref="A70:I70"/>
    <mergeCell ref="J70:L70"/>
    <mergeCell ref="M70:O70"/>
    <mergeCell ref="P70:R70"/>
    <mergeCell ref="S70:W70"/>
    <mergeCell ref="X70:Z70"/>
    <mergeCell ref="A69:I69"/>
    <mergeCell ref="J69:L69"/>
    <mergeCell ref="M69:O69"/>
    <mergeCell ref="P69:R69"/>
    <mergeCell ref="S69:W69"/>
    <mergeCell ref="X69:Z69"/>
    <mergeCell ref="A68:I68"/>
    <mergeCell ref="J68:L68"/>
    <mergeCell ref="M68:O68"/>
    <mergeCell ref="P68:R68"/>
    <mergeCell ref="S68:W68"/>
    <mergeCell ref="X68:Z68"/>
    <mergeCell ref="A67:I67"/>
    <mergeCell ref="J67:L67"/>
    <mergeCell ref="M67:O67"/>
    <mergeCell ref="P67:R67"/>
    <mergeCell ref="S67:W67"/>
    <mergeCell ref="X67:Z67"/>
    <mergeCell ref="A66:I66"/>
    <mergeCell ref="J66:L66"/>
    <mergeCell ref="M66:O66"/>
    <mergeCell ref="P66:R66"/>
    <mergeCell ref="S66:W66"/>
    <mergeCell ref="X66:Z66"/>
    <mergeCell ref="A65:I65"/>
    <mergeCell ref="J65:L65"/>
    <mergeCell ref="M65:O65"/>
    <mergeCell ref="P65:R65"/>
    <mergeCell ref="S65:W65"/>
    <mergeCell ref="X65:Z65"/>
    <mergeCell ref="A64:I64"/>
    <mergeCell ref="J64:L64"/>
    <mergeCell ref="M64:O64"/>
    <mergeCell ref="P64:R64"/>
    <mergeCell ref="S64:W64"/>
    <mergeCell ref="X64:Z64"/>
    <mergeCell ref="A63:I63"/>
    <mergeCell ref="J63:L63"/>
    <mergeCell ref="M63:O63"/>
    <mergeCell ref="P63:R63"/>
    <mergeCell ref="S63:W63"/>
    <mergeCell ref="X63:Z63"/>
    <mergeCell ref="A62:I62"/>
    <mergeCell ref="J62:L62"/>
    <mergeCell ref="M62:O62"/>
    <mergeCell ref="P62:R62"/>
    <mergeCell ref="S62:W62"/>
    <mergeCell ref="X62:Z62"/>
    <mergeCell ref="A61:I61"/>
    <mergeCell ref="J61:L61"/>
    <mergeCell ref="M61:O61"/>
    <mergeCell ref="P61:R61"/>
    <mergeCell ref="S61:W61"/>
    <mergeCell ref="X61:Z61"/>
    <mergeCell ref="A60:I60"/>
    <mergeCell ref="J60:L60"/>
    <mergeCell ref="M60:O60"/>
    <mergeCell ref="P60:R60"/>
    <mergeCell ref="S60:W60"/>
    <mergeCell ref="X60:Z60"/>
    <mergeCell ref="A59:I59"/>
    <mergeCell ref="J59:L59"/>
    <mergeCell ref="M59:O59"/>
    <mergeCell ref="P59:R59"/>
    <mergeCell ref="S59:W59"/>
    <mergeCell ref="X59:Z59"/>
    <mergeCell ref="A58:I58"/>
    <mergeCell ref="J58:L58"/>
    <mergeCell ref="M58:O58"/>
    <mergeCell ref="P58:R58"/>
    <mergeCell ref="S58:W58"/>
    <mergeCell ref="X58:Z58"/>
    <mergeCell ref="A57:I57"/>
    <mergeCell ref="J57:L57"/>
    <mergeCell ref="M57:O57"/>
    <mergeCell ref="P57:R57"/>
    <mergeCell ref="S57:W57"/>
    <mergeCell ref="X57:Z57"/>
    <mergeCell ref="A56:I56"/>
    <mergeCell ref="J56:L56"/>
    <mergeCell ref="M56:O56"/>
    <mergeCell ref="P56:R56"/>
    <mergeCell ref="S56:W56"/>
    <mergeCell ref="X56:Z56"/>
    <mergeCell ref="A55:I55"/>
    <mergeCell ref="J55:L55"/>
    <mergeCell ref="M55:O55"/>
    <mergeCell ref="P55:R55"/>
    <mergeCell ref="S55:W55"/>
    <mergeCell ref="X55:Z55"/>
    <mergeCell ref="A54:I54"/>
    <mergeCell ref="J54:L54"/>
    <mergeCell ref="M54:O54"/>
    <mergeCell ref="P54:R54"/>
    <mergeCell ref="S54:W54"/>
    <mergeCell ref="X54:Z54"/>
    <mergeCell ref="A53:I53"/>
    <mergeCell ref="J53:L53"/>
    <mergeCell ref="M53:O53"/>
    <mergeCell ref="P53:R53"/>
    <mergeCell ref="S53:W53"/>
    <mergeCell ref="X53:Z53"/>
    <mergeCell ref="A52:I52"/>
    <mergeCell ref="J52:L52"/>
    <mergeCell ref="M52:O52"/>
    <mergeCell ref="P52:R52"/>
    <mergeCell ref="S52:W52"/>
    <mergeCell ref="X52:Z52"/>
    <mergeCell ref="A51:I51"/>
    <mergeCell ref="J51:L51"/>
    <mergeCell ref="M51:O51"/>
    <mergeCell ref="P51:R51"/>
    <mergeCell ref="S51:W51"/>
    <mergeCell ref="X51:Z51"/>
    <mergeCell ref="A50:I50"/>
    <mergeCell ref="J50:L50"/>
    <mergeCell ref="M50:O50"/>
    <mergeCell ref="P50:R50"/>
    <mergeCell ref="S50:W50"/>
    <mergeCell ref="X50:Z50"/>
    <mergeCell ref="A49:I49"/>
    <mergeCell ref="J49:L49"/>
    <mergeCell ref="M49:O49"/>
    <mergeCell ref="P49:R49"/>
    <mergeCell ref="S49:W49"/>
    <mergeCell ref="X49:Z49"/>
    <mergeCell ref="A48:I48"/>
    <mergeCell ref="J48:L48"/>
    <mergeCell ref="M48:O48"/>
    <mergeCell ref="P48:R48"/>
    <mergeCell ref="S48:W48"/>
    <mergeCell ref="X48:Z48"/>
    <mergeCell ref="A47:I47"/>
    <mergeCell ref="J47:L47"/>
    <mergeCell ref="M47:O47"/>
    <mergeCell ref="P47:R47"/>
    <mergeCell ref="S47:W47"/>
    <mergeCell ref="X47:Z47"/>
    <mergeCell ref="A46:I46"/>
    <mergeCell ref="J46:L46"/>
    <mergeCell ref="M46:O46"/>
    <mergeCell ref="P46:R46"/>
    <mergeCell ref="S46:W46"/>
    <mergeCell ref="X46:Z46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</mergeCells>
  <pageMargins left="1.2992125984251968" right="0.51181102362204722" top="0.74803149606299213" bottom="0.74803149606299213" header="0.31496062992125984" footer="0.31496062992125984"/>
  <pageSetup paperSize="9" firstPageNumber="4294967295" orientation="landscape" verticalDpi="300" r:id="rId1"/>
  <headerFooter alignWithMargins="0">
    <oddFooter>&amp;CСтраница &amp;С из &amp;К</oddFooter>
  </headerFooter>
  <rowBreaks count="2" manualBreakCount="2">
    <brk id="77" max="16383" man="1"/>
    <brk id="183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2023-06-28T06:03:01Z</cp:lastPrinted>
  <dcterms:created xsi:type="dcterms:W3CDTF">2023-05-29T06:08:16Z</dcterms:created>
  <dcterms:modified xsi:type="dcterms:W3CDTF">2023-07-25T13:01:29Z</dcterms:modified>
</cp:coreProperties>
</file>