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1340" windowHeight="6795"/>
  </bookViews>
  <sheets>
    <sheet name="0503117 Отчет об исп" sheetId="1" r:id="rId1"/>
  </sheets>
  <calcPr calcId="144525"/>
</workbook>
</file>

<file path=xl/calcChain.xml><?xml version="1.0" encoding="utf-8"?>
<calcChain xmlns="http://schemas.openxmlformats.org/spreadsheetml/2006/main">
  <c r="M10" i="1" l="1"/>
  <c r="P10" i="1"/>
  <c r="U10" i="1"/>
  <c r="M11" i="1"/>
  <c r="P11" i="1"/>
  <c r="U11" i="1"/>
  <c r="M12" i="1"/>
  <c r="P12" i="1"/>
  <c r="U12" i="1"/>
  <c r="M13" i="1"/>
  <c r="P13" i="1"/>
  <c r="U13" i="1"/>
  <c r="M14" i="1"/>
  <c r="P14" i="1"/>
  <c r="U14" i="1"/>
  <c r="M15" i="1"/>
  <c r="P15" i="1"/>
  <c r="U15" i="1"/>
  <c r="M16" i="1"/>
  <c r="P16" i="1"/>
  <c r="U16" i="1"/>
  <c r="M17" i="1"/>
  <c r="P17" i="1"/>
  <c r="U17" i="1"/>
  <c r="M18" i="1"/>
  <c r="P18" i="1"/>
  <c r="U18" i="1"/>
  <c r="M19" i="1"/>
  <c r="P19" i="1"/>
  <c r="U19" i="1"/>
  <c r="M20" i="1"/>
  <c r="P20" i="1"/>
  <c r="U20" i="1"/>
  <c r="M21" i="1"/>
  <c r="P21" i="1"/>
  <c r="U21" i="1"/>
  <c r="M22" i="1"/>
  <c r="P22" i="1"/>
  <c r="U22" i="1"/>
  <c r="M23" i="1"/>
  <c r="P23" i="1"/>
  <c r="U23" i="1"/>
  <c r="M24" i="1"/>
  <c r="P24" i="1"/>
  <c r="U24" i="1"/>
  <c r="M25" i="1"/>
  <c r="P25" i="1"/>
  <c r="M26" i="1"/>
  <c r="P26" i="1"/>
  <c r="P27" i="1"/>
  <c r="P28" i="1"/>
  <c r="M29" i="1"/>
  <c r="P29" i="1"/>
  <c r="U29" i="1"/>
  <c r="M30" i="1"/>
  <c r="P30" i="1"/>
  <c r="U30" i="1"/>
  <c r="M31" i="1"/>
  <c r="P31" i="1"/>
  <c r="U31" i="1"/>
  <c r="M32" i="1"/>
  <c r="P32" i="1"/>
  <c r="U32" i="1"/>
  <c r="M33" i="1"/>
  <c r="P33" i="1"/>
  <c r="U33" i="1"/>
  <c r="M34" i="1"/>
  <c r="P34" i="1"/>
  <c r="U34" i="1"/>
  <c r="M35" i="1"/>
  <c r="P35" i="1"/>
  <c r="U35" i="1"/>
  <c r="M36" i="1"/>
  <c r="P36" i="1"/>
  <c r="U36" i="1"/>
  <c r="M37" i="1"/>
  <c r="P37" i="1"/>
  <c r="U37" i="1"/>
  <c r="M38" i="1"/>
  <c r="P38" i="1"/>
  <c r="U38" i="1"/>
  <c r="M39" i="1"/>
  <c r="P39" i="1"/>
  <c r="U39" i="1"/>
  <c r="P40" i="1"/>
  <c r="P41" i="1"/>
  <c r="P42" i="1"/>
  <c r="P43" i="1"/>
  <c r="M44" i="1"/>
  <c r="P44" i="1"/>
  <c r="U44" i="1"/>
  <c r="M45" i="1"/>
  <c r="P45" i="1"/>
  <c r="U45" i="1"/>
  <c r="M46" i="1"/>
  <c r="P46" i="1"/>
  <c r="U46" i="1"/>
  <c r="M47" i="1"/>
  <c r="P47" i="1"/>
  <c r="U47" i="1"/>
  <c r="M48" i="1"/>
  <c r="P48" i="1"/>
  <c r="U48" i="1"/>
  <c r="M49" i="1"/>
  <c r="P49" i="1"/>
  <c r="U49" i="1"/>
  <c r="M50" i="1"/>
  <c r="P50" i="1"/>
  <c r="M51" i="1"/>
  <c r="P51" i="1"/>
  <c r="M52" i="1"/>
  <c r="P52" i="1"/>
  <c r="M53" i="1"/>
  <c r="P53" i="1"/>
  <c r="M54" i="1"/>
  <c r="P54" i="1"/>
  <c r="U54" i="1"/>
  <c r="M55" i="1"/>
  <c r="P55" i="1"/>
  <c r="U55" i="1"/>
  <c r="M56" i="1"/>
  <c r="P56" i="1"/>
  <c r="U56" i="1"/>
  <c r="M57" i="1"/>
  <c r="P57" i="1"/>
  <c r="U57" i="1"/>
  <c r="P58" i="1"/>
  <c r="P59" i="1"/>
  <c r="P60" i="1"/>
  <c r="M61" i="1"/>
  <c r="P61" i="1"/>
  <c r="U61" i="1"/>
  <c r="M62" i="1"/>
  <c r="P62" i="1"/>
  <c r="U62" i="1"/>
  <c r="M63" i="1"/>
  <c r="P63" i="1"/>
  <c r="U63" i="1"/>
  <c r="M64" i="1"/>
  <c r="P64" i="1"/>
  <c r="U64" i="1"/>
  <c r="M65" i="1"/>
  <c r="P65" i="1"/>
  <c r="U65" i="1"/>
  <c r="M66" i="1"/>
  <c r="P66" i="1"/>
  <c r="U66" i="1"/>
  <c r="M67" i="1"/>
  <c r="P67" i="1"/>
  <c r="U67" i="1"/>
  <c r="M68" i="1"/>
  <c r="P68" i="1"/>
  <c r="U68" i="1"/>
  <c r="M69" i="1"/>
  <c r="P69" i="1"/>
  <c r="U69" i="1"/>
  <c r="M70" i="1"/>
  <c r="P70" i="1"/>
  <c r="U70" i="1"/>
  <c r="M71" i="1"/>
  <c r="P71" i="1"/>
  <c r="U71" i="1"/>
  <c r="M72" i="1"/>
  <c r="P72" i="1"/>
  <c r="U72" i="1"/>
  <c r="M73" i="1"/>
  <c r="P73" i="1"/>
  <c r="U73" i="1"/>
  <c r="M74" i="1"/>
  <c r="P74" i="1"/>
  <c r="U74" i="1"/>
  <c r="M75" i="1"/>
  <c r="P75" i="1"/>
  <c r="U75" i="1"/>
  <c r="M76" i="1"/>
  <c r="P76" i="1"/>
  <c r="U76" i="1"/>
  <c r="M77" i="1"/>
  <c r="P77" i="1"/>
  <c r="U77" i="1"/>
  <c r="M78" i="1"/>
  <c r="P78" i="1"/>
  <c r="U78" i="1"/>
  <c r="M79" i="1"/>
  <c r="P79" i="1"/>
  <c r="U79" i="1"/>
  <c r="M80" i="1"/>
  <c r="P80" i="1"/>
  <c r="U80" i="1"/>
  <c r="M81" i="1"/>
  <c r="P81" i="1"/>
  <c r="U81" i="1"/>
  <c r="N86" i="1"/>
  <c r="Q86" i="1"/>
  <c r="V86" i="1"/>
  <c r="N87" i="1"/>
  <c r="Q87" i="1"/>
  <c r="V87" i="1"/>
  <c r="N88" i="1"/>
  <c r="Q88" i="1"/>
  <c r="V88" i="1"/>
  <c r="N89" i="1"/>
  <c r="Q89" i="1"/>
  <c r="V89" i="1"/>
  <c r="N90" i="1"/>
  <c r="Q90" i="1"/>
  <c r="V90" i="1"/>
  <c r="N91" i="1"/>
  <c r="Q91" i="1"/>
  <c r="V91" i="1"/>
  <c r="N92" i="1"/>
  <c r="Q92" i="1"/>
  <c r="V92" i="1"/>
  <c r="N93" i="1"/>
  <c r="Q93" i="1"/>
  <c r="V93" i="1"/>
  <c r="N94" i="1"/>
  <c r="Q94" i="1"/>
  <c r="V94" i="1"/>
  <c r="N95" i="1"/>
  <c r="Q95" i="1"/>
  <c r="V95" i="1"/>
  <c r="N96" i="1"/>
  <c r="Q96" i="1"/>
  <c r="V96" i="1"/>
  <c r="N97" i="1"/>
  <c r="V97" i="1"/>
  <c r="N98" i="1"/>
  <c r="Q98" i="1"/>
  <c r="V98" i="1"/>
  <c r="N99" i="1"/>
  <c r="V99" i="1"/>
  <c r="N100" i="1"/>
  <c r="Q100" i="1"/>
  <c r="V100" i="1"/>
  <c r="N101" i="1"/>
  <c r="Q101" i="1"/>
  <c r="V101" i="1"/>
  <c r="N102" i="1"/>
  <c r="V102" i="1"/>
  <c r="N103" i="1"/>
  <c r="Q103" i="1"/>
  <c r="V103" i="1"/>
  <c r="N104" i="1"/>
  <c r="V104" i="1"/>
  <c r="N105" i="1"/>
  <c r="Q105" i="1"/>
  <c r="V105" i="1"/>
  <c r="N106" i="1"/>
  <c r="Q106" i="1"/>
  <c r="V106" i="1"/>
  <c r="N107" i="1"/>
  <c r="Q107" i="1"/>
  <c r="V107" i="1"/>
  <c r="N108" i="1"/>
  <c r="Q108" i="1"/>
  <c r="V108" i="1"/>
  <c r="N109" i="1"/>
  <c r="Q109" i="1"/>
  <c r="V109" i="1"/>
  <c r="N110" i="1"/>
  <c r="Q110" i="1"/>
  <c r="V110" i="1"/>
  <c r="N111" i="1"/>
  <c r="Q111" i="1"/>
  <c r="V111" i="1"/>
  <c r="N112" i="1"/>
  <c r="Q112" i="1"/>
  <c r="V112" i="1"/>
  <c r="N113" i="1"/>
  <c r="Q113" i="1"/>
  <c r="V113" i="1"/>
  <c r="N114" i="1"/>
  <c r="Q114" i="1"/>
  <c r="V114" i="1"/>
  <c r="N115" i="1"/>
  <c r="Q115" i="1"/>
  <c r="V115" i="1"/>
  <c r="N116" i="1"/>
  <c r="Q116" i="1"/>
  <c r="V116" i="1"/>
  <c r="N117" i="1"/>
  <c r="Q117" i="1"/>
  <c r="V117" i="1"/>
  <c r="N118" i="1"/>
  <c r="Q118" i="1"/>
  <c r="V118" i="1"/>
  <c r="N119" i="1"/>
  <c r="Q119" i="1"/>
  <c r="V119" i="1"/>
  <c r="N120" i="1"/>
  <c r="V120" i="1"/>
  <c r="N121" i="1"/>
  <c r="Q121" i="1"/>
  <c r="V121" i="1"/>
  <c r="N122" i="1"/>
  <c r="Q122" i="1"/>
  <c r="V122" i="1"/>
  <c r="N123" i="1"/>
  <c r="Q123" i="1"/>
  <c r="V123" i="1"/>
  <c r="N124" i="1"/>
  <c r="Q124" i="1"/>
  <c r="V124" i="1"/>
  <c r="N125" i="1"/>
  <c r="Q125" i="1"/>
  <c r="V125" i="1"/>
  <c r="N126" i="1"/>
  <c r="V126" i="1"/>
  <c r="N127" i="1"/>
  <c r="Q127" i="1"/>
  <c r="V127" i="1"/>
  <c r="N128" i="1"/>
  <c r="V128" i="1"/>
  <c r="N129" i="1"/>
  <c r="V129" i="1"/>
  <c r="N130" i="1"/>
  <c r="Q130" i="1"/>
  <c r="V130" i="1"/>
  <c r="N131" i="1"/>
  <c r="Q131" i="1"/>
  <c r="V131" i="1"/>
  <c r="N132" i="1"/>
  <c r="Q132" i="1"/>
  <c r="V132" i="1"/>
  <c r="N133" i="1"/>
  <c r="Q133" i="1"/>
  <c r="V133" i="1"/>
  <c r="N134" i="1"/>
  <c r="Q134" i="1"/>
  <c r="V134" i="1"/>
  <c r="N135" i="1"/>
  <c r="V135" i="1"/>
  <c r="N136" i="1"/>
  <c r="V136" i="1"/>
  <c r="N137" i="1"/>
  <c r="Q137" i="1"/>
  <c r="V137" i="1"/>
  <c r="N138" i="1"/>
  <c r="V138" i="1"/>
  <c r="N139" i="1"/>
  <c r="Q139" i="1"/>
  <c r="V139" i="1"/>
  <c r="N140" i="1"/>
  <c r="Q140" i="1"/>
  <c r="V140" i="1"/>
  <c r="N141" i="1"/>
  <c r="Q141" i="1"/>
  <c r="V141" i="1"/>
  <c r="N142" i="1"/>
  <c r="Q142" i="1"/>
  <c r="V142" i="1"/>
  <c r="N143" i="1"/>
  <c r="Q143" i="1"/>
  <c r="V143" i="1"/>
  <c r="N144" i="1"/>
  <c r="Q144" i="1"/>
  <c r="V144" i="1"/>
  <c r="N145" i="1"/>
  <c r="V145" i="1"/>
  <c r="N146" i="1"/>
  <c r="Q146" i="1"/>
  <c r="V146" i="1"/>
  <c r="N147" i="1"/>
  <c r="Q147" i="1"/>
  <c r="V147" i="1"/>
  <c r="N148" i="1"/>
  <c r="Q148" i="1"/>
  <c r="V148" i="1"/>
  <c r="N149" i="1"/>
  <c r="Q149" i="1"/>
  <c r="V149" i="1"/>
  <c r="N150" i="1"/>
  <c r="Q150" i="1"/>
  <c r="V150" i="1"/>
  <c r="N151" i="1"/>
  <c r="Q151" i="1"/>
  <c r="V151" i="1"/>
  <c r="N152" i="1"/>
  <c r="V152" i="1"/>
  <c r="N153" i="1"/>
  <c r="Q153" i="1"/>
  <c r="V153" i="1"/>
  <c r="N154" i="1"/>
  <c r="Q154" i="1"/>
  <c r="V154" i="1"/>
  <c r="N155" i="1"/>
  <c r="Q155" i="1"/>
  <c r="V155" i="1"/>
  <c r="N156" i="1"/>
  <c r="Q156" i="1"/>
  <c r="V156" i="1"/>
  <c r="N157" i="1"/>
  <c r="Q157" i="1"/>
  <c r="V157" i="1"/>
  <c r="N158" i="1"/>
  <c r="Q158" i="1"/>
  <c r="V158" i="1"/>
  <c r="N159" i="1"/>
  <c r="Q159" i="1"/>
  <c r="V159" i="1"/>
  <c r="N160" i="1"/>
  <c r="Q160" i="1"/>
  <c r="V160" i="1"/>
  <c r="N161" i="1"/>
  <c r="Q161" i="1"/>
  <c r="V161" i="1"/>
  <c r="N162" i="1"/>
  <c r="Q162" i="1"/>
  <c r="V162" i="1"/>
  <c r="N163" i="1"/>
  <c r="Q163" i="1"/>
  <c r="V163" i="1"/>
  <c r="N164" i="1"/>
  <c r="Q164" i="1"/>
  <c r="V164" i="1"/>
  <c r="N165" i="1"/>
  <c r="Q165" i="1"/>
  <c r="V165" i="1"/>
  <c r="N166" i="1"/>
  <c r="Q166" i="1"/>
  <c r="V166" i="1"/>
  <c r="N167" i="1"/>
  <c r="Q167" i="1"/>
  <c r="V167" i="1"/>
  <c r="N168" i="1"/>
  <c r="Q168" i="1"/>
  <c r="V168" i="1"/>
  <c r="N169" i="1"/>
  <c r="Q169" i="1"/>
  <c r="V169" i="1"/>
  <c r="N170" i="1"/>
  <c r="Q170" i="1"/>
  <c r="V170" i="1"/>
  <c r="N171" i="1"/>
  <c r="Q171" i="1"/>
  <c r="V171" i="1"/>
  <c r="N172" i="1"/>
  <c r="V172" i="1"/>
  <c r="N173" i="1"/>
  <c r="Q173" i="1"/>
  <c r="V173" i="1"/>
  <c r="N174" i="1"/>
  <c r="Q174" i="1"/>
  <c r="V174" i="1"/>
  <c r="N175" i="1"/>
  <c r="V175" i="1"/>
  <c r="N176" i="1"/>
  <c r="Q176" i="1"/>
  <c r="V176" i="1"/>
  <c r="N177" i="1"/>
  <c r="V177" i="1"/>
  <c r="N178" i="1"/>
  <c r="Q178" i="1"/>
  <c r="V178" i="1"/>
  <c r="N179" i="1"/>
  <c r="Q179" i="1"/>
  <c r="V179" i="1"/>
  <c r="N180" i="1"/>
  <c r="Q180" i="1"/>
  <c r="V180" i="1"/>
  <c r="N181" i="1"/>
  <c r="Q181" i="1"/>
  <c r="V181" i="1"/>
  <c r="N182" i="1"/>
  <c r="Q182" i="1"/>
  <c r="V182" i="1"/>
  <c r="N183" i="1"/>
  <c r="Q183" i="1"/>
  <c r="V183" i="1"/>
  <c r="N184" i="1"/>
  <c r="Q184" i="1"/>
  <c r="V184" i="1"/>
  <c r="N185" i="1"/>
  <c r="Q185" i="1"/>
  <c r="V185" i="1"/>
  <c r="N186" i="1"/>
  <c r="Q186" i="1"/>
  <c r="V186" i="1"/>
  <c r="N187" i="1"/>
  <c r="Q187" i="1"/>
  <c r="V187" i="1"/>
  <c r="N188" i="1"/>
  <c r="Q188" i="1"/>
  <c r="V188" i="1"/>
  <c r="N189" i="1"/>
  <c r="Q189" i="1"/>
  <c r="V189" i="1"/>
  <c r="N190" i="1"/>
  <c r="Q190" i="1"/>
  <c r="V190" i="1"/>
  <c r="N191" i="1"/>
  <c r="V191" i="1"/>
  <c r="N192" i="1"/>
  <c r="Q192" i="1"/>
  <c r="V192" i="1"/>
  <c r="N193" i="1"/>
  <c r="Q193" i="1"/>
  <c r="V193" i="1"/>
  <c r="N194" i="1"/>
  <c r="Q194" i="1"/>
  <c r="V194" i="1"/>
  <c r="N195" i="1"/>
  <c r="Q195" i="1"/>
  <c r="V195" i="1"/>
  <c r="N196" i="1"/>
  <c r="Q196" i="1"/>
  <c r="V196" i="1"/>
  <c r="N197" i="1"/>
  <c r="Q197" i="1"/>
  <c r="V197" i="1"/>
  <c r="N198" i="1"/>
  <c r="Q198" i="1"/>
  <c r="V198" i="1"/>
  <c r="N199" i="1"/>
  <c r="Q199" i="1"/>
  <c r="V199" i="1"/>
  <c r="N200" i="1"/>
  <c r="Q200" i="1"/>
  <c r="V200" i="1"/>
  <c r="N201" i="1"/>
  <c r="Q201" i="1"/>
  <c r="V201" i="1"/>
  <c r="N202" i="1"/>
  <c r="Q202" i="1"/>
  <c r="V202" i="1"/>
  <c r="N203" i="1"/>
  <c r="Q203" i="1"/>
  <c r="V203" i="1"/>
  <c r="N204" i="1"/>
  <c r="Q204" i="1"/>
  <c r="V204" i="1"/>
  <c r="N205" i="1"/>
  <c r="Q205" i="1"/>
  <c r="V205" i="1"/>
  <c r="N206" i="1"/>
  <c r="Q206" i="1"/>
  <c r="V206" i="1"/>
  <c r="N207" i="1"/>
  <c r="Q207" i="1"/>
  <c r="V207" i="1"/>
  <c r="N208" i="1"/>
  <c r="Q208" i="1"/>
  <c r="V208" i="1"/>
  <c r="N209" i="1"/>
  <c r="Q209" i="1"/>
  <c r="V209" i="1"/>
  <c r="N210" i="1"/>
  <c r="V210" i="1"/>
  <c r="N211" i="1"/>
  <c r="Q211" i="1"/>
  <c r="V211" i="1"/>
  <c r="N212" i="1"/>
  <c r="Q212" i="1"/>
  <c r="V212" i="1"/>
  <c r="N213" i="1"/>
  <c r="Q213" i="1"/>
  <c r="V213" i="1"/>
  <c r="N214" i="1"/>
  <c r="Q214" i="1"/>
  <c r="M219" i="1"/>
  <c r="P219" i="1"/>
  <c r="M223" i="1"/>
  <c r="P223" i="1"/>
  <c r="U223" i="1"/>
  <c r="M224" i="1"/>
  <c r="P224" i="1"/>
  <c r="M225" i="1"/>
  <c r="P225" i="1"/>
  <c r="M226" i="1"/>
  <c r="P226" i="1"/>
  <c r="M227" i="1"/>
  <c r="P227" i="1"/>
  <c r="M228" i="1"/>
  <c r="P228" i="1"/>
  <c r="M229" i="1"/>
  <c r="P229" i="1"/>
  <c r="M230" i="1"/>
  <c r="P230" i="1"/>
  <c r="M231" i="1"/>
  <c r="P231" i="1"/>
</calcChain>
</file>

<file path=xl/sharedStrings.xml><?xml version="1.0" encoding="utf-8"?>
<sst xmlns="http://schemas.openxmlformats.org/spreadsheetml/2006/main" count="661" uniqueCount="296">
  <si>
    <t/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</si>
  <si>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</si>
  <si>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</si>
  <si>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</si>
  <si>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</si>
  <si>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</si>
  <si>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</si>
  <si>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3</t>
  </si>
  <si>
    <t>4</t>
  </si>
  <si>
    <t>5</t>
  </si>
  <si>
    <t>6</t>
  </si>
  <si>
    <t>Доходы бюджета всего, в т.ч.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</si>
  <si>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</si>
  <si>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</si>
  <si>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</si>
  <si>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</si>
  <si>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</si>
  <si>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</si>
  <si>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</si>
  <si>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</si>
  <si>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</si>
  <si>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</si>
  <si>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</si>
  <si>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</si>
  <si>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</si>
  <si>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</si>
  <si>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</si>
  <si>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</si>
  <si>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</si>
  <si>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</si>
  <si>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</si>
  <si>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</si>
  <si>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</si>
  <si>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</si>
  <si>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</si>
  <si>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</si>
  <si>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</si>
  <si>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</si>
  <si>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</si>
  <si>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</si>
  <si>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</si>
  <si>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</si>
  <si>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</si>
  <si>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</si>
  <si>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</si>
  <si>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</si>
  <si>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</si>
  <si>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</si>
  <si>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</si>
  <si>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</si>
  <si>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</si>
  <si>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</si>
  <si>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</si>
  <si>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</si>
  <si>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</si>
  <si>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</si>
  <si>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</si>
  <si>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</si>
  <si>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</si>
  <si>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</si>
  <si>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</si>
  <si>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</si>
  <si>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</si>
  <si>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</si>
  <si>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</si>
  <si>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</si>
  <si>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</si>
  <si>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</si>
  <si>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</si>
  <si>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</si>
  <si>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</si>
  <si>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ЗАДОЛЖЕННОСТЬ И ПЕРЕРАСЧЕТЫ ПО ОТМЕНЕННЫМ НАЛОГАМ, СБОРАМ И ИНЫМ ОБЯЗАТЕЛЬНЫМ ПЛАТЕЖАМ</t>
  </si>
  <si>
    <t>10900000 00 0000 000</t>
  </si>
  <si>
    <t>Налоги на имущество</t>
  </si>
  <si>
    <t>10904000 00 0000 110</t>
  </si>
  <si>
    <t>Земельный налог (по обязательствам, возникшим до 1 января 2006 года)</t>
  </si>
  <si>
    <t>10904050 00 0000 110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</si>
  <si>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</si>
  <si>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10904053 10 0000 110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</si>
  <si>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</si>
  <si>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</si>
  <si>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</si>
  <si>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</si>
  <si>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</si>
  <si>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</si>
  <si>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</si>
  <si>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</si>
  <si>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</si>
  <si>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</si>
  <si>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</si>
  <si>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</si>
  <si>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</si>
  <si>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</si>
  <si>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</si>
  <si>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</si>
  <si>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</si>
  <si>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</si>
  <si>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</si>
  <si>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</si>
  <si>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</si>
  <si>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</si>
  <si>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</si>
  <si>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</si>
  <si>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</si>
  <si>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</si>
  <si>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</si>
  <si>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</si>
  <si>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</si>
  <si>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</si>
  <si>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</si>
  <si>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</si>
  <si>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</si>
  <si>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</si>
  <si>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</si>
  <si>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</si>
  <si>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</si>
  <si>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</si>
  <si>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</si>
  <si>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</si>
  <si>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</si>
  <si>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</si>
  <si>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</si>
  <si>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</si>
  <si>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Субсидии бюджетам бюджетной системы Российской Федерации (межбюджетные субсидии)</t>
  </si>
  <si>
    <t>20220000 00 0000 150</t>
  </si>
  <si>
    <t>Субсидии бюджетам на софинансирование капитальных вложений в объекты муниципальной собственности</t>
  </si>
  <si>
    <t>20220077 00 0000 150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</si>
  <si>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</si>
  <si>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20220077 10 0000 150</t>
  </si>
  <si>
    <t>Прочие субсидии</t>
  </si>
  <si>
    <t>20229999 00 0000 150</t>
  </si>
  <si>
    <t>Прочие субсидии бюджетам сельских поселений</t>
  </si>
  <si>
    <t>20229999 10 0000 150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</si>
  <si>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</si>
  <si>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</si>
  <si>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</si>
  <si>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</si>
  <si>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</si>
  <si>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</si>
  <si>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</si>
  <si>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</si>
  <si>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</si>
  <si>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</si>
  <si>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</si>
  <si>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</si>
  <si>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</si>
  <si>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</si>
  <si>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</si>
  <si>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</si>
  <si>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</si>
  <si>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</si>
  <si>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</si>
  <si>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</si>
  <si>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</si>
  <si>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Код расхода
по бюджетной
классификации</t>
  </si>
  <si>
    <t>КОСГУ</t>
  </si>
  <si>
    <t>7</t>
  </si>
  <si>
    <t>Расходы бюджета всего, в т.ч.</t>
  </si>
  <si>
    <t>Заработная плата</t>
  </si>
  <si>
    <t>0102 5010000190 121</t>
  </si>
  <si>
    <t>211</t>
  </si>
  <si>
    <t>Начисления на выплаты по оплате труда</t>
  </si>
  <si>
    <t>0102 5010000190 129</t>
  </si>
  <si>
    <t>213</t>
  </si>
  <si>
    <t>0104 5110000190 121</t>
  </si>
  <si>
    <t>Социальные пособия и компенсации персоналу в денежной форме</t>
  </si>
  <si>
    <t>266</t>
  </si>
  <si>
    <t>0104 5110000190 129</t>
  </si>
  <si>
    <t>Увеличение стоимости прочих материальных запасов</t>
  </si>
  <si>
    <t>0104 5120060190 244</t>
  </si>
  <si>
    <t>346</t>
  </si>
  <si>
    <t>Перечисления текущего характера другим бюджетам бюджетной системы Российской Федерации</t>
  </si>
  <si>
    <t>0104 6910020400 540</t>
  </si>
  <si>
    <t>251</t>
  </si>
  <si>
    <t>0106 6810020600 540</t>
  </si>
  <si>
    <t>0106 6820020600 540</t>
  </si>
  <si>
    <t>Иные выплаты текущего характера организациям</t>
  </si>
  <si>
    <t>0107 9910010050 880</t>
  </si>
  <si>
    <t>297</t>
  </si>
  <si>
    <t>Прочие работы, услуги</t>
  </si>
  <si>
    <t>0113 0110110030 244</t>
  </si>
  <si>
    <t>226</t>
  </si>
  <si>
    <t>Услуги связи</t>
  </si>
  <si>
    <t>0113 0120210030 244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</si>
  <si>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</si>
  <si>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</si>
  <si>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</si>
  <si>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</si>
  <si>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</si>
  <si>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</si>
  <si>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</si>
  <si>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0113 0120210140 244</t>
  </si>
  <si>
    <t>0113 0130210030 244</t>
  </si>
  <si>
    <t>Транспортные услуги</t>
  </si>
  <si>
    <t>222</t>
  </si>
  <si>
    <t>Коммунальные услуги</t>
  </si>
  <si>
    <t>223</t>
  </si>
  <si>
    <t>Увеличение стоимости горюче-смазочных материалов</t>
  </si>
  <si>
    <t>343</t>
  </si>
  <si>
    <t>0113 0130210030 247</t>
  </si>
  <si>
    <t>Налоги, пошлины и сборы</t>
  </si>
  <si>
    <t>0113 0130210030 851</t>
  </si>
  <si>
    <t>291</t>
  </si>
  <si>
    <t>0113 0130210030 852</t>
  </si>
  <si>
    <t>Штрафы за нарушение законодательства о налогах и сборах, законодательства о страховых взносах</t>
  </si>
  <si>
    <t>0113 0130210030 853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</si>
  <si>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</si>
  <si>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</si>
  <si>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</si>
  <si>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0113 0200110200 244</t>
  </si>
  <si>
    <t>0113 0900110370 244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</si>
  <si>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</si>
  <si>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0113 1000110040 633</t>
  </si>
  <si>
    <t>246</t>
  </si>
  <si>
    <t>0113 1000110060 244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</si>
  <si>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</si>
  <si>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</si>
  <si>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</si>
  <si>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</si>
  <si>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</si>
  <si>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</si>
  <si>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</si>
  <si>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</si>
  <si>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0409 0420210130 244</t>
  </si>
  <si>
    <t>Увеличение стоимости прочих материальных запасов однократного применения</t>
  </si>
  <si>
    <t>349</t>
  </si>
  <si>
    <t>0409 042R1С3930 244</t>
  </si>
  <si>
    <t>0412 0410110440 244</t>
  </si>
  <si>
    <t>0502 0600110470 244</t>
  </si>
  <si>
    <t>0502 0600110480 244</t>
  </si>
  <si>
    <t>Увеличение стоимости строительных материалов</t>
  </si>
  <si>
    <t>344</t>
  </si>
  <si>
    <t>Безвозмездные перечисления капитального характера организациям</t>
  </si>
  <si>
    <t>0502 0600110480 815</t>
  </si>
  <si>
    <t>280</t>
  </si>
  <si>
    <t>0502 06001S0330 244</t>
  </si>
  <si>
    <t>0503 0500110630 244</t>
  </si>
  <si>
    <t>0503 0500110630 247</t>
  </si>
  <si>
    <t>0503 0500110650 244</t>
  </si>
  <si>
    <t>0503 0500110660 244</t>
  </si>
  <si>
    <t>0503 0500110670 244</t>
  </si>
  <si>
    <t>0503 0500120700 244</t>
  </si>
  <si>
    <t>0503 1510110550 244</t>
  </si>
  <si>
    <t>0707 0700110280 244</t>
  </si>
  <si>
    <t>0801 0810100590 111</t>
  </si>
  <si>
    <t>Прочие несоциальные выплаты персоналу в денежной форме</t>
  </si>
  <si>
    <t>0801 0810100590 112</t>
  </si>
  <si>
    <t>212</t>
  </si>
  <si>
    <t>0801 0810100590 119</t>
  </si>
  <si>
    <t>0801 0810100590 244</t>
  </si>
  <si>
    <t>0801 0810100590 247</t>
  </si>
  <si>
    <t>0801 0810100590 853</t>
  </si>
  <si>
    <t>0801 0810109010 244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</si>
  <si>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</si>
  <si>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</si>
  <si>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</si>
  <si>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</si>
  <si>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</si>
  <si>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</si>
  <si>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0801 0830310090 244</t>
  </si>
  <si>
    <t>Пенсии, пособия, выплачиваемые работодателями, нанимателями бывшим работникам</t>
  </si>
  <si>
    <t>1001 1000210390 312</t>
  </si>
  <si>
    <t>264</t>
  </si>
  <si>
    <t>1102 1100110310 244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</si>
  <si>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</si>
  <si>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</si>
  <si>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</si>
  <si>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</si>
  <si>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</si>
  <si>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</si>
  <si>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</si>
  <si>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</si>
  <si>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</si>
  <si>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</si>
  <si>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</si>
  <si>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</si>
  <si>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</si>
  <si>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</si>
  <si>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</si>
  <si>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</si>
  <si>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</si>
  <si>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</si>
  <si>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</si>
  <si>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</si>
  <si>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</si>
  <si>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</si>
  <si>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</si>
  <si>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</si>
  <si>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</si>
  <si>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к решению Совета</t>
  </si>
  <si>
    <t>Марьянского сельского поселения</t>
  </si>
  <si>
    <t>Красноармейского района</t>
  </si>
  <si>
    <t xml:space="preserve">от ___._____.2022 года № </t>
  </si>
  <si>
    <t>Приложение 1. Доходы бюджета</t>
  </si>
  <si>
    <t>Приложение 2. Расходы бюджета</t>
  </si>
  <si>
    <t>Приложение 3. 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</si>
</sst>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2" fillId="2" borderId="0" xfId="0" applyNumberFormat="1" applyFont="1" applyFill="1" applyBorder="1" applyAlignment="1">
      <alignment horizontal="left" wrapText="1"/>
    </xf>
    <xf numFmtId="0" fontId="0" fillId="0" borderId="0" xfId="0" applyNumberFormat="1" applyBorder="1"/>
    <xf numFmtId="0" fontId="2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right" wrapText="1"/>
    </xf>
    <xf numFmtId="0" fontId="2" fillId="2" borderId="0" xfId="0" applyNumberFormat="1" applyFont="1" applyFill="1" applyBorder="1" applyAlignment="1">
      <alignment horizont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31" xfId="0" applyNumberFormat="1" applyFont="1" applyFill="1" applyBorder="1" applyAlignment="1">
      <alignment horizontal="right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3" fillId="2" borderId="16" xfId="0" applyNumberFormat="1" applyFont="1" applyFill="1" applyBorder="1" applyAlignment="1">
      <alignment horizontal="center" wrapText="1"/>
    </xf>
    <xf numFmtId="0" fontId="2" fillId="2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41"/>
  <sheetViews>
    <sheetView tabSelected="1" topLeftCell="A199" workbookViewId="0">
      <selection activeCell="M218" sqref="M218:O218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0.28515625" style="1" customWidth="1"/>
    <col min="10" max="10" width="2.7109375" style="1" customWidth="1"/>
    <col min="11" max="11" width="17.7109375" style="1" customWidth="1"/>
    <col min="12" max="12" width="4.7109375" style="1" customWidth="1"/>
    <col min="13" max="14" width="2.7109375" style="1" customWidth="1"/>
    <col min="15" max="15" width="12.7109375" style="1" customWidth="1"/>
    <col min="16" max="16" width="1.7109375" style="1" customWidth="1"/>
    <col min="17" max="17" width="6.7109375" style="1" customWidth="1"/>
    <col min="18" max="18" width="3.7109375" style="1" customWidth="1"/>
    <col min="19" max="19" width="1.7109375" style="1" customWidth="1"/>
    <col min="20" max="20" width="4.7109375" style="1" customWidth="1"/>
    <col min="21" max="21" width="1.7109375" style="1" customWidth="1"/>
    <col min="22" max="22" width="3.7109375" style="1" customWidth="1"/>
    <col min="23" max="23" width="12.7109375" style="1" customWidth="1"/>
  </cols>
  <sheetData>
    <row r="1" spans="1:26" s="1" customFormat="1" ht="14.1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61" t="s">
        <v>288</v>
      </c>
      <c r="R1" s="61"/>
      <c r="S1" s="61"/>
      <c r="T1" s="61"/>
      <c r="U1" s="61"/>
      <c r="V1" s="61"/>
      <c r="W1" s="61"/>
      <c r="X1" s="9"/>
      <c r="Y1" s="9"/>
      <c r="Z1" s="9"/>
    </row>
    <row r="2" spans="1:26" s="1" customFormat="1" ht="14.1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61" t="s">
        <v>289</v>
      </c>
      <c r="R2" s="61"/>
      <c r="S2" s="61"/>
      <c r="T2" s="61"/>
      <c r="U2" s="61"/>
      <c r="V2" s="61"/>
      <c r="W2" s="61"/>
      <c r="X2" s="9"/>
      <c r="Y2" s="9"/>
      <c r="Z2" s="9"/>
    </row>
    <row r="3" spans="1:26" s="1" customFormat="1" ht="14.1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1" t="s">
        <v>290</v>
      </c>
      <c r="R3" s="61"/>
      <c r="S3" s="61"/>
      <c r="T3" s="61"/>
      <c r="U3" s="61"/>
      <c r="V3" s="61"/>
      <c r="W3" s="61"/>
      <c r="X3" s="9"/>
      <c r="Y3" s="9"/>
      <c r="Z3" s="9"/>
    </row>
    <row r="4" spans="1:26" s="1" customFormat="1" ht="14.1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1" t="s">
        <v>291</v>
      </c>
      <c r="R4" s="61"/>
      <c r="S4" s="61"/>
      <c r="T4" s="61"/>
      <c r="U4" s="61"/>
      <c r="V4" s="61"/>
      <c r="W4" s="61"/>
      <c r="X4" s="9"/>
      <c r="Y4" s="9"/>
      <c r="Z4" s="9"/>
    </row>
    <row r="5" spans="1:26" s="1" customFormat="1" ht="14.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1" t="s">
        <v>292</v>
      </c>
      <c r="R5" s="61"/>
      <c r="S5" s="61"/>
      <c r="T5" s="61"/>
      <c r="U5" s="61"/>
      <c r="V5" s="61"/>
      <c r="W5" s="61"/>
      <c r="X5" s="9"/>
      <c r="Y5" s="9"/>
      <c r="Z5" s="9"/>
    </row>
    <row r="6" spans="1:26" s="1" customFormat="1" ht="14.1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s="1" customFormat="1" ht="14.1" customHeight="1" thickBot="1" x14ac:dyDescent="0.25">
      <c r="A7" s="44" t="s">
        <v>293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s="1" customFormat="1" ht="35.1" customHeight="1" x14ac:dyDescent="0.2">
      <c r="A8" s="45" t="s">
        <v>1</v>
      </c>
      <c r="B8" s="45"/>
      <c r="C8" s="45"/>
      <c r="D8" s="45"/>
      <c r="E8" s="45"/>
      <c r="F8" s="45"/>
      <c r="G8" s="45"/>
      <c r="H8" s="45"/>
      <c r="I8" s="4"/>
      <c r="J8" s="45" t="s">
        <v>2</v>
      </c>
      <c r="K8" s="45"/>
      <c r="L8" s="45"/>
      <c r="M8" s="46" t="s">
        <v>3</v>
      </c>
      <c r="N8" s="46"/>
      <c r="O8" s="46"/>
      <c r="P8" s="46" t="s">
        <v>4</v>
      </c>
      <c r="Q8" s="46"/>
      <c r="R8" s="46"/>
      <c r="S8" s="46"/>
      <c r="T8" s="46"/>
      <c r="U8" s="47" t="s">
        <v>5</v>
      </c>
      <c r="V8" s="47"/>
      <c r="W8" s="47"/>
    </row>
    <row r="9" spans="1:26" s="1" customFormat="1" ht="12.95" customHeight="1" thickBot="1" x14ac:dyDescent="0.25">
      <c r="A9" s="35" t="s">
        <v>6</v>
      </c>
      <c r="B9" s="35"/>
      <c r="C9" s="35"/>
      <c r="D9" s="35"/>
      <c r="E9" s="35"/>
      <c r="F9" s="35"/>
      <c r="G9" s="35"/>
      <c r="H9" s="35"/>
      <c r="I9" s="5"/>
      <c r="J9" s="35" t="s">
        <v>7</v>
      </c>
      <c r="K9" s="35"/>
      <c r="L9" s="35"/>
      <c r="M9" s="36" t="s">
        <v>8</v>
      </c>
      <c r="N9" s="36"/>
      <c r="O9" s="36"/>
      <c r="P9" s="36" t="s">
        <v>9</v>
      </c>
      <c r="Q9" s="36"/>
      <c r="R9" s="36"/>
      <c r="S9" s="36"/>
      <c r="T9" s="36"/>
      <c r="U9" s="37" t="s">
        <v>10</v>
      </c>
      <c r="V9" s="37"/>
      <c r="W9" s="37"/>
    </row>
    <row r="10" spans="1:26" s="1" customFormat="1" ht="14.1" customHeight="1" thickBot="1" x14ac:dyDescent="0.25">
      <c r="A10" s="38" t="s">
        <v>11</v>
      </c>
      <c r="B10" s="38"/>
      <c r="C10" s="38"/>
      <c r="D10" s="38"/>
      <c r="E10" s="38"/>
      <c r="F10" s="38"/>
      <c r="G10" s="38"/>
      <c r="H10" s="38"/>
      <c r="I10" s="6"/>
      <c r="J10" s="39" t="s">
        <v>12</v>
      </c>
      <c r="K10" s="39"/>
      <c r="L10" s="39"/>
      <c r="M10" s="41">
        <f>92146909</f>
        <v>92146909</v>
      </c>
      <c r="N10" s="41"/>
      <c r="O10" s="41"/>
      <c r="P10" s="41">
        <f>78323287.9</f>
        <v>78323287.900000006</v>
      </c>
      <c r="Q10" s="41"/>
      <c r="R10" s="41"/>
      <c r="S10" s="41"/>
      <c r="T10" s="41"/>
      <c r="U10" s="56">
        <f>13823621.1</f>
        <v>13823621.1</v>
      </c>
      <c r="V10" s="56"/>
      <c r="W10" s="56"/>
    </row>
    <row r="11" spans="1:26" s="1" customFormat="1" ht="14.1" customHeight="1" x14ac:dyDescent="0.2">
      <c r="A11" s="30" t="s">
        <v>13</v>
      </c>
      <c r="B11" s="30"/>
      <c r="C11" s="30"/>
      <c r="D11" s="30"/>
      <c r="E11" s="30"/>
      <c r="F11" s="30"/>
      <c r="G11" s="30"/>
      <c r="H11" s="30"/>
      <c r="I11" s="4"/>
      <c r="J11" s="31" t="s">
        <v>14</v>
      </c>
      <c r="K11" s="31"/>
      <c r="L11" s="31"/>
      <c r="M11" s="57">
        <f>45379059</f>
        <v>45379059</v>
      </c>
      <c r="N11" s="57"/>
      <c r="O11" s="57"/>
      <c r="P11" s="57">
        <f>31742592.11</f>
        <v>31742592.109999999</v>
      </c>
      <c r="Q11" s="57"/>
      <c r="R11" s="57"/>
      <c r="S11" s="57"/>
      <c r="T11" s="57"/>
      <c r="U11" s="58">
        <f>13636466.89</f>
        <v>13636466.890000001</v>
      </c>
      <c r="V11" s="58"/>
      <c r="W11" s="58"/>
    </row>
    <row r="12" spans="1:26" s="1" customFormat="1" ht="14.1" customHeight="1" x14ac:dyDescent="0.2">
      <c r="A12" s="30" t="s">
        <v>15</v>
      </c>
      <c r="B12" s="30"/>
      <c r="C12" s="30"/>
      <c r="D12" s="30"/>
      <c r="E12" s="30"/>
      <c r="F12" s="30"/>
      <c r="G12" s="30"/>
      <c r="H12" s="30"/>
      <c r="I12" s="3"/>
      <c r="J12" s="31" t="s">
        <v>16</v>
      </c>
      <c r="K12" s="31"/>
      <c r="L12" s="31"/>
      <c r="M12" s="57">
        <f>27000000</f>
        <v>27000000</v>
      </c>
      <c r="N12" s="57"/>
      <c r="O12" s="57"/>
      <c r="P12" s="57">
        <f>22181949.57</f>
        <v>22181949.57</v>
      </c>
      <c r="Q12" s="57"/>
      <c r="R12" s="57"/>
      <c r="S12" s="57"/>
      <c r="T12" s="57"/>
      <c r="U12" s="58">
        <f>4818050.43</f>
        <v>4818050.43</v>
      </c>
      <c r="V12" s="58"/>
      <c r="W12" s="58"/>
    </row>
    <row r="13" spans="1:26" s="1" customFormat="1" ht="14.1" customHeight="1" x14ac:dyDescent="0.2">
      <c r="A13" s="30" t="s">
        <v>17</v>
      </c>
      <c r="B13" s="30"/>
      <c r="C13" s="30"/>
      <c r="D13" s="30"/>
      <c r="E13" s="30"/>
      <c r="F13" s="30"/>
      <c r="G13" s="30"/>
      <c r="H13" s="30"/>
      <c r="I13" s="3"/>
      <c r="J13" s="31" t="s">
        <v>18</v>
      </c>
      <c r="K13" s="31"/>
      <c r="L13" s="31"/>
      <c r="M13" s="57">
        <f>27000000</f>
        <v>27000000</v>
      </c>
      <c r="N13" s="57"/>
      <c r="O13" s="57"/>
      <c r="P13" s="57">
        <f>22181949.57</f>
        <v>22181949.57</v>
      </c>
      <c r="Q13" s="57"/>
      <c r="R13" s="57"/>
      <c r="S13" s="57"/>
      <c r="T13" s="57"/>
      <c r="U13" s="58">
        <f>4818050.43</f>
        <v>4818050.43</v>
      </c>
      <c r="V13" s="58"/>
      <c r="W13" s="58"/>
    </row>
    <row r="14" spans="1:26" s="1" customFormat="1" ht="45" customHeight="1" x14ac:dyDescent="0.2">
      <c r="A14" s="30" t="s">
        <v>19</v>
      </c>
      <c r="B14" s="30"/>
      <c r="C14" s="30"/>
      <c r="D14" s="30"/>
      <c r="E14" s="30"/>
      <c r="F14" s="30"/>
      <c r="G14" s="30"/>
      <c r="H14" s="30"/>
      <c r="I14" s="3"/>
      <c r="J14" s="31" t="s">
        <v>20</v>
      </c>
      <c r="K14" s="31"/>
      <c r="L14" s="31"/>
      <c r="M14" s="57">
        <f>24070000</f>
        <v>24070000</v>
      </c>
      <c r="N14" s="57"/>
      <c r="O14" s="57"/>
      <c r="P14" s="57">
        <f>19465488.44</f>
        <v>19465488.440000001</v>
      </c>
      <c r="Q14" s="57"/>
      <c r="R14" s="57"/>
      <c r="S14" s="57"/>
      <c r="T14" s="57"/>
      <c r="U14" s="58">
        <f>4604511.56</f>
        <v>4604511.5599999996</v>
      </c>
      <c r="V14" s="58"/>
      <c r="W14" s="58"/>
    </row>
    <row r="15" spans="1:26" s="1" customFormat="1" ht="66" customHeight="1" x14ac:dyDescent="0.2">
      <c r="A15" s="30" t="s">
        <v>21</v>
      </c>
      <c r="B15" s="30"/>
      <c r="C15" s="30"/>
      <c r="D15" s="30"/>
      <c r="E15" s="30"/>
      <c r="F15" s="30"/>
      <c r="G15" s="30"/>
      <c r="H15" s="30"/>
      <c r="I15" s="3"/>
      <c r="J15" s="31" t="s">
        <v>22</v>
      </c>
      <c r="K15" s="31"/>
      <c r="L15" s="31"/>
      <c r="M15" s="57">
        <f>210000</f>
        <v>210000</v>
      </c>
      <c r="N15" s="57"/>
      <c r="O15" s="57"/>
      <c r="P15" s="57">
        <f>173847.45</f>
        <v>173847.45</v>
      </c>
      <c r="Q15" s="57"/>
      <c r="R15" s="57"/>
      <c r="S15" s="57"/>
      <c r="T15" s="57"/>
      <c r="U15" s="58">
        <f>36152.55</f>
        <v>36152.550000000003</v>
      </c>
      <c r="V15" s="58"/>
      <c r="W15" s="58"/>
    </row>
    <row r="16" spans="1:26" s="1" customFormat="1" ht="24" customHeight="1" x14ac:dyDescent="0.2">
      <c r="A16" s="30" t="s">
        <v>23</v>
      </c>
      <c r="B16" s="30"/>
      <c r="C16" s="30"/>
      <c r="D16" s="30"/>
      <c r="E16" s="30"/>
      <c r="F16" s="30"/>
      <c r="G16" s="30"/>
      <c r="H16" s="30"/>
      <c r="I16" s="3"/>
      <c r="J16" s="31" t="s">
        <v>24</v>
      </c>
      <c r="K16" s="31"/>
      <c r="L16" s="31"/>
      <c r="M16" s="57">
        <f>900000</f>
        <v>900000</v>
      </c>
      <c r="N16" s="57"/>
      <c r="O16" s="57"/>
      <c r="P16" s="57">
        <f>813054.43</f>
        <v>813054.43</v>
      </c>
      <c r="Q16" s="57"/>
      <c r="R16" s="57"/>
      <c r="S16" s="57"/>
      <c r="T16" s="57"/>
      <c r="U16" s="58">
        <f>86945.57</f>
        <v>86945.57</v>
      </c>
      <c r="V16" s="58"/>
      <c r="W16" s="58"/>
    </row>
    <row r="17" spans="1:23" s="1" customFormat="1" ht="54.95" customHeight="1" x14ac:dyDescent="0.2">
      <c r="A17" s="30" t="s">
        <v>25</v>
      </c>
      <c r="B17" s="30"/>
      <c r="C17" s="30"/>
      <c r="D17" s="30"/>
      <c r="E17" s="30"/>
      <c r="F17" s="30"/>
      <c r="G17" s="30"/>
      <c r="H17" s="30"/>
      <c r="I17" s="3"/>
      <c r="J17" s="31" t="s">
        <v>26</v>
      </c>
      <c r="K17" s="31"/>
      <c r="L17" s="31"/>
      <c r="M17" s="57">
        <f>20000</f>
        <v>20000</v>
      </c>
      <c r="N17" s="57"/>
      <c r="O17" s="57"/>
      <c r="P17" s="57">
        <f>17459.3</f>
        <v>17459.3</v>
      </c>
      <c r="Q17" s="57"/>
      <c r="R17" s="57"/>
      <c r="S17" s="57"/>
      <c r="T17" s="57"/>
      <c r="U17" s="58">
        <f>2540.7</f>
        <v>2540.6999999999998</v>
      </c>
      <c r="V17" s="58"/>
      <c r="W17" s="58"/>
    </row>
    <row r="18" spans="1:23" s="1" customFormat="1" ht="54.95" customHeight="1" x14ac:dyDescent="0.2">
      <c r="A18" s="30" t="s">
        <v>27</v>
      </c>
      <c r="B18" s="30"/>
      <c r="C18" s="30"/>
      <c r="D18" s="30"/>
      <c r="E18" s="30"/>
      <c r="F18" s="30"/>
      <c r="G18" s="30"/>
      <c r="H18" s="30"/>
      <c r="I18" s="3"/>
      <c r="J18" s="31" t="s">
        <v>28</v>
      </c>
      <c r="K18" s="31"/>
      <c r="L18" s="31"/>
      <c r="M18" s="57">
        <f>1800000</f>
        <v>1800000</v>
      </c>
      <c r="N18" s="57"/>
      <c r="O18" s="57"/>
      <c r="P18" s="57">
        <f>1712099.95</f>
        <v>1712099.95</v>
      </c>
      <c r="Q18" s="57"/>
      <c r="R18" s="57"/>
      <c r="S18" s="57"/>
      <c r="T18" s="57"/>
      <c r="U18" s="58">
        <f>87900.05</f>
        <v>87900.05</v>
      </c>
      <c r="V18" s="58"/>
      <c r="W18" s="58"/>
    </row>
    <row r="19" spans="1:23" s="1" customFormat="1" ht="24" customHeight="1" x14ac:dyDescent="0.2">
      <c r="A19" s="30" t="s">
        <v>29</v>
      </c>
      <c r="B19" s="30"/>
      <c r="C19" s="30"/>
      <c r="D19" s="30"/>
      <c r="E19" s="30"/>
      <c r="F19" s="30"/>
      <c r="G19" s="30"/>
      <c r="H19" s="30"/>
      <c r="I19" s="3"/>
      <c r="J19" s="31" t="s">
        <v>30</v>
      </c>
      <c r="K19" s="31"/>
      <c r="L19" s="31"/>
      <c r="M19" s="57">
        <f>6556900</f>
        <v>6556900</v>
      </c>
      <c r="N19" s="57"/>
      <c r="O19" s="57"/>
      <c r="P19" s="57">
        <f>5409213.7</f>
        <v>5409213.7000000002</v>
      </c>
      <c r="Q19" s="57"/>
      <c r="R19" s="57"/>
      <c r="S19" s="57"/>
      <c r="T19" s="57"/>
      <c r="U19" s="58">
        <f>1147686.3</f>
        <v>1147686.3</v>
      </c>
      <c r="V19" s="58"/>
      <c r="W19" s="58"/>
    </row>
    <row r="20" spans="1:23" s="1" customFormat="1" ht="24" customHeight="1" x14ac:dyDescent="0.2">
      <c r="A20" s="30" t="s">
        <v>31</v>
      </c>
      <c r="B20" s="30"/>
      <c r="C20" s="30"/>
      <c r="D20" s="30"/>
      <c r="E20" s="30"/>
      <c r="F20" s="30"/>
      <c r="G20" s="30"/>
      <c r="H20" s="30"/>
      <c r="I20" s="3"/>
      <c r="J20" s="31" t="s">
        <v>32</v>
      </c>
      <c r="K20" s="31"/>
      <c r="L20" s="31"/>
      <c r="M20" s="57">
        <f>6556900</f>
        <v>6556900</v>
      </c>
      <c r="N20" s="57"/>
      <c r="O20" s="57"/>
      <c r="P20" s="57">
        <f>5409213.7</f>
        <v>5409213.7000000002</v>
      </c>
      <c r="Q20" s="57"/>
      <c r="R20" s="57"/>
      <c r="S20" s="57"/>
      <c r="T20" s="57"/>
      <c r="U20" s="58">
        <f>1147686.3</f>
        <v>1147686.3</v>
      </c>
      <c r="V20" s="58"/>
      <c r="W20" s="58"/>
    </row>
    <row r="21" spans="1:23" s="1" customFormat="1" ht="45" customHeight="1" x14ac:dyDescent="0.2">
      <c r="A21" s="30" t="s">
        <v>33</v>
      </c>
      <c r="B21" s="30"/>
      <c r="C21" s="30"/>
      <c r="D21" s="30"/>
      <c r="E21" s="30"/>
      <c r="F21" s="30"/>
      <c r="G21" s="30"/>
      <c r="H21" s="30"/>
      <c r="I21" s="3"/>
      <c r="J21" s="31" t="s">
        <v>34</v>
      </c>
      <c r="K21" s="31"/>
      <c r="L21" s="31"/>
      <c r="M21" s="57">
        <f>3500000</f>
        <v>3500000</v>
      </c>
      <c r="N21" s="57"/>
      <c r="O21" s="57"/>
      <c r="P21" s="57">
        <f>2644840</f>
        <v>2644840</v>
      </c>
      <c r="Q21" s="57"/>
      <c r="R21" s="57"/>
      <c r="S21" s="57"/>
      <c r="T21" s="57"/>
      <c r="U21" s="58">
        <f>855160</f>
        <v>855160</v>
      </c>
      <c r="V21" s="58"/>
      <c r="W21" s="58"/>
    </row>
    <row r="22" spans="1:23" s="1" customFormat="1" ht="66" customHeight="1" x14ac:dyDescent="0.2">
      <c r="A22" s="30" t="s">
        <v>35</v>
      </c>
      <c r="B22" s="30"/>
      <c r="C22" s="30"/>
      <c r="D22" s="30"/>
      <c r="E22" s="30"/>
      <c r="F22" s="30"/>
      <c r="G22" s="30"/>
      <c r="H22" s="30"/>
      <c r="I22" s="3"/>
      <c r="J22" s="31" t="s">
        <v>36</v>
      </c>
      <c r="K22" s="31"/>
      <c r="L22" s="31"/>
      <c r="M22" s="57">
        <f>3500000</f>
        <v>3500000</v>
      </c>
      <c r="N22" s="57"/>
      <c r="O22" s="57"/>
      <c r="P22" s="57">
        <f>2644840</f>
        <v>2644840</v>
      </c>
      <c r="Q22" s="57"/>
      <c r="R22" s="57"/>
      <c r="S22" s="57"/>
      <c r="T22" s="57"/>
      <c r="U22" s="58">
        <f>855160</f>
        <v>855160</v>
      </c>
      <c r="V22" s="58"/>
      <c r="W22" s="58"/>
    </row>
    <row r="23" spans="1:23" s="1" customFormat="1" ht="54.95" customHeight="1" x14ac:dyDescent="0.2">
      <c r="A23" s="30" t="s">
        <v>37</v>
      </c>
      <c r="B23" s="30"/>
      <c r="C23" s="30"/>
      <c r="D23" s="30"/>
      <c r="E23" s="30"/>
      <c r="F23" s="30"/>
      <c r="G23" s="30"/>
      <c r="H23" s="30"/>
      <c r="I23" s="3"/>
      <c r="J23" s="31" t="s">
        <v>38</v>
      </c>
      <c r="K23" s="31"/>
      <c r="L23" s="31"/>
      <c r="M23" s="57">
        <f>100000</f>
        <v>100000</v>
      </c>
      <c r="N23" s="57"/>
      <c r="O23" s="57"/>
      <c r="P23" s="57">
        <f>14962.2</f>
        <v>14962.2</v>
      </c>
      <c r="Q23" s="57"/>
      <c r="R23" s="57"/>
      <c r="S23" s="57"/>
      <c r="T23" s="57"/>
      <c r="U23" s="58">
        <f>85037.8</f>
        <v>85037.8</v>
      </c>
      <c r="V23" s="58"/>
      <c r="W23" s="58"/>
    </row>
    <row r="24" spans="1:23" s="1" customFormat="1" ht="75.95" customHeight="1" x14ac:dyDescent="0.2">
      <c r="A24" s="30" t="s">
        <v>39</v>
      </c>
      <c r="B24" s="30"/>
      <c r="C24" s="30"/>
      <c r="D24" s="30"/>
      <c r="E24" s="30"/>
      <c r="F24" s="30"/>
      <c r="G24" s="30"/>
      <c r="H24" s="30"/>
      <c r="I24" s="3"/>
      <c r="J24" s="31" t="s">
        <v>40</v>
      </c>
      <c r="K24" s="31"/>
      <c r="L24" s="31"/>
      <c r="M24" s="57">
        <f>100000</f>
        <v>100000</v>
      </c>
      <c r="N24" s="57"/>
      <c r="O24" s="57"/>
      <c r="P24" s="57">
        <f>14962.2</f>
        <v>14962.2</v>
      </c>
      <c r="Q24" s="57"/>
      <c r="R24" s="57"/>
      <c r="S24" s="57"/>
      <c r="T24" s="57"/>
      <c r="U24" s="58">
        <f>85037.8</f>
        <v>85037.8</v>
      </c>
      <c r="V24" s="58"/>
      <c r="W24" s="58"/>
    </row>
    <row r="25" spans="1:23" s="1" customFormat="1" ht="45" customHeight="1" x14ac:dyDescent="0.2">
      <c r="A25" s="30" t="s">
        <v>41</v>
      </c>
      <c r="B25" s="30"/>
      <c r="C25" s="30"/>
      <c r="D25" s="30"/>
      <c r="E25" s="30"/>
      <c r="F25" s="30"/>
      <c r="G25" s="30"/>
      <c r="H25" s="30"/>
      <c r="I25" s="3"/>
      <c r="J25" s="31" t="s">
        <v>42</v>
      </c>
      <c r="K25" s="31"/>
      <c r="L25" s="31"/>
      <c r="M25" s="57">
        <f>2956900</f>
        <v>2956900</v>
      </c>
      <c r="N25" s="57"/>
      <c r="O25" s="57"/>
      <c r="P25" s="57">
        <f>3044656.36</f>
        <v>3044656.36</v>
      </c>
      <c r="Q25" s="57"/>
      <c r="R25" s="57"/>
      <c r="S25" s="57"/>
      <c r="T25" s="57"/>
      <c r="U25" s="60" t="s">
        <v>43</v>
      </c>
      <c r="V25" s="60"/>
      <c r="W25" s="60"/>
    </row>
    <row r="26" spans="1:23" s="1" customFormat="1" ht="66" customHeight="1" x14ac:dyDescent="0.2">
      <c r="A26" s="30" t="s">
        <v>44</v>
      </c>
      <c r="B26" s="30"/>
      <c r="C26" s="30"/>
      <c r="D26" s="30"/>
      <c r="E26" s="30"/>
      <c r="F26" s="30"/>
      <c r="G26" s="30"/>
      <c r="H26" s="30"/>
      <c r="I26" s="3"/>
      <c r="J26" s="31" t="s">
        <v>45</v>
      </c>
      <c r="K26" s="31"/>
      <c r="L26" s="31"/>
      <c r="M26" s="57">
        <f>2956900</f>
        <v>2956900</v>
      </c>
      <c r="N26" s="57"/>
      <c r="O26" s="57"/>
      <c r="P26" s="57">
        <f>3044656.36</f>
        <v>3044656.36</v>
      </c>
      <c r="Q26" s="57"/>
      <c r="R26" s="57"/>
      <c r="S26" s="57"/>
      <c r="T26" s="57"/>
      <c r="U26" s="60" t="s">
        <v>43</v>
      </c>
      <c r="V26" s="60"/>
      <c r="W26" s="60"/>
    </row>
    <row r="27" spans="1:23" s="1" customFormat="1" ht="45" customHeight="1" x14ac:dyDescent="0.2">
      <c r="A27" s="30" t="s">
        <v>46</v>
      </c>
      <c r="B27" s="30"/>
      <c r="C27" s="30"/>
      <c r="D27" s="30"/>
      <c r="E27" s="30"/>
      <c r="F27" s="30"/>
      <c r="G27" s="30"/>
      <c r="H27" s="30"/>
      <c r="I27" s="3"/>
      <c r="J27" s="31" t="s">
        <v>47</v>
      </c>
      <c r="K27" s="31"/>
      <c r="L27" s="31"/>
      <c r="M27" s="33" t="s">
        <v>43</v>
      </c>
      <c r="N27" s="33"/>
      <c r="O27" s="33"/>
      <c r="P27" s="57">
        <f>-295244.86</f>
        <v>-295244.86</v>
      </c>
      <c r="Q27" s="57"/>
      <c r="R27" s="57"/>
      <c r="S27" s="57"/>
      <c r="T27" s="57"/>
      <c r="U27" s="60" t="s">
        <v>43</v>
      </c>
      <c r="V27" s="60"/>
      <c r="W27" s="60"/>
    </row>
    <row r="28" spans="1:23" s="1" customFormat="1" ht="66" customHeight="1" x14ac:dyDescent="0.2">
      <c r="A28" s="30" t="s">
        <v>48</v>
      </c>
      <c r="B28" s="30"/>
      <c r="C28" s="30"/>
      <c r="D28" s="30"/>
      <c r="E28" s="30"/>
      <c r="F28" s="30"/>
      <c r="G28" s="30"/>
      <c r="H28" s="30"/>
      <c r="I28" s="3"/>
      <c r="J28" s="31" t="s">
        <v>49</v>
      </c>
      <c r="K28" s="31"/>
      <c r="L28" s="31"/>
      <c r="M28" s="33" t="s">
        <v>43</v>
      </c>
      <c r="N28" s="33"/>
      <c r="O28" s="33"/>
      <c r="P28" s="57">
        <f>-295244.86</f>
        <v>-295244.86</v>
      </c>
      <c r="Q28" s="57"/>
      <c r="R28" s="57"/>
      <c r="S28" s="57"/>
      <c r="T28" s="57"/>
      <c r="U28" s="60" t="s">
        <v>43</v>
      </c>
      <c r="V28" s="60"/>
      <c r="W28" s="60"/>
    </row>
    <row r="29" spans="1:23" s="1" customFormat="1" ht="14.1" customHeight="1" x14ac:dyDescent="0.2">
      <c r="A29" s="30" t="s">
        <v>50</v>
      </c>
      <c r="B29" s="30"/>
      <c r="C29" s="30"/>
      <c r="D29" s="30"/>
      <c r="E29" s="30"/>
      <c r="F29" s="30"/>
      <c r="G29" s="30"/>
      <c r="H29" s="30"/>
      <c r="I29" s="3"/>
      <c r="J29" s="31" t="s">
        <v>51</v>
      </c>
      <c r="K29" s="31"/>
      <c r="L29" s="31"/>
      <c r="M29" s="57">
        <f>106500</f>
        <v>106500</v>
      </c>
      <c r="N29" s="57"/>
      <c r="O29" s="57"/>
      <c r="P29" s="57">
        <f>101103.01</f>
        <v>101103.01</v>
      </c>
      <c r="Q29" s="57"/>
      <c r="R29" s="57"/>
      <c r="S29" s="57"/>
      <c r="T29" s="57"/>
      <c r="U29" s="58">
        <f>5396.99</f>
        <v>5396.99</v>
      </c>
      <c r="V29" s="58"/>
      <c r="W29" s="58"/>
    </row>
    <row r="30" spans="1:23" s="1" customFormat="1" ht="14.1" customHeight="1" x14ac:dyDescent="0.2">
      <c r="A30" s="30" t="s">
        <v>52</v>
      </c>
      <c r="B30" s="30"/>
      <c r="C30" s="30"/>
      <c r="D30" s="30"/>
      <c r="E30" s="30"/>
      <c r="F30" s="30"/>
      <c r="G30" s="30"/>
      <c r="H30" s="30"/>
      <c r="I30" s="3"/>
      <c r="J30" s="31" t="s">
        <v>53</v>
      </c>
      <c r="K30" s="31"/>
      <c r="L30" s="31"/>
      <c r="M30" s="57">
        <f>106500</f>
        <v>106500</v>
      </c>
      <c r="N30" s="57"/>
      <c r="O30" s="57"/>
      <c r="P30" s="57">
        <f>101103.01</f>
        <v>101103.01</v>
      </c>
      <c r="Q30" s="57"/>
      <c r="R30" s="57"/>
      <c r="S30" s="57"/>
      <c r="T30" s="57"/>
      <c r="U30" s="58">
        <f>5396.99</f>
        <v>5396.99</v>
      </c>
      <c r="V30" s="58"/>
      <c r="W30" s="58"/>
    </row>
    <row r="31" spans="1:23" s="1" customFormat="1" ht="14.1" customHeight="1" x14ac:dyDescent="0.2">
      <c r="A31" s="30" t="s">
        <v>52</v>
      </c>
      <c r="B31" s="30"/>
      <c r="C31" s="30"/>
      <c r="D31" s="30"/>
      <c r="E31" s="30"/>
      <c r="F31" s="30"/>
      <c r="G31" s="30"/>
      <c r="H31" s="30"/>
      <c r="I31" s="3"/>
      <c r="J31" s="31" t="s">
        <v>54</v>
      </c>
      <c r="K31" s="31"/>
      <c r="L31" s="31"/>
      <c r="M31" s="57">
        <f>106500</f>
        <v>106500</v>
      </c>
      <c r="N31" s="57"/>
      <c r="O31" s="57"/>
      <c r="P31" s="57">
        <f>101103.01</f>
        <v>101103.01</v>
      </c>
      <c r="Q31" s="57"/>
      <c r="R31" s="57"/>
      <c r="S31" s="57"/>
      <c r="T31" s="57"/>
      <c r="U31" s="58">
        <f>5396.99</f>
        <v>5396.99</v>
      </c>
      <c r="V31" s="58"/>
      <c r="W31" s="58"/>
    </row>
    <row r="32" spans="1:23" s="1" customFormat="1" ht="14.1" customHeight="1" x14ac:dyDescent="0.2">
      <c r="A32" s="30" t="s">
        <v>55</v>
      </c>
      <c r="B32" s="30"/>
      <c r="C32" s="30"/>
      <c r="D32" s="30"/>
      <c r="E32" s="30"/>
      <c r="F32" s="30"/>
      <c r="G32" s="30"/>
      <c r="H32" s="30"/>
      <c r="I32" s="3"/>
      <c r="J32" s="31" t="s">
        <v>56</v>
      </c>
      <c r="K32" s="31"/>
      <c r="L32" s="31"/>
      <c r="M32" s="57">
        <f>11315000</f>
        <v>11315000</v>
      </c>
      <c r="N32" s="57"/>
      <c r="O32" s="57"/>
      <c r="P32" s="57">
        <f>3828237.65</f>
        <v>3828237.65</v>
      </c>
      <c r="Q32" s="57"/>
      <c r="R32" s="57"/>
      <c r="S32" s="57"/>
      <c r="T32" s="57"/>
      <c r="U32" s="58">
        <f>7486762.35</f>
        <v>7486762.3499999996</v>
      </c>
      <c r="V32" s="58"/>
      <c r="W32" s="58"/>
    </row>
    <row r="33" spans="1:23" s="1" customFormat="1" ht="14.1" customHeight="1" x14ac:dyDescent="0.2">
      <c r="A33" s="30" t="s">
        <v>57</v>
      </c>
      <c r="B33" s="30"/>
      <c r="C33" s="30"/>
      <c r="D33" s="30"/>
      <c r="E33" s="30"/>
      <c r="F33" s="30"/>
      <c r="G33" s="30"/>
      <c r="H33" s="30"/>
      <c r="I33" s="3"/>
      <c r="J33" s="31" t="s">
        <v>58</v>
      </c>
      <c r="K33" s="31"/>
      <c r="L33" s="31"/>
      <c r="M33" s="57">
        <f>5795000</f>
        <v>5795000</v>
      </c>
      <c r="N33" s="57"/>
      <c r="O33" s="57"/>
      <c r="P33" s="57">
        <f>706457.68</f>
        <v>706457.68</v>
      </c>
      <c r="Q33" s="57"/>
      <c r="R33" s="57"/>
      <c r="S33" s="57"/>
      <c r="T33" s="57"/>
      <c r="U33" s="58">
        <f>5088542.32</f>
        <v>5088542.32</v>
      </c>
      <c r="V33" s="58"/>
      <c r="W33" s="58"/>
    </row>
    <row r="34" spans="1:23" s="1" customFormat="1" ht="24" customHeight="1" x14ac:dyDescent="0.2">
      <c r="A34" s="30" t="s">
        <v>59</v>
      </c>
      <c r="B34" s="30"/>
      <c r="C34" s="30"/>
      <c r="D34" s="30"/>
      <c r="E34" s="30"/>
      <c r="F34" s="30"/>
      <c r="G34" s="30"/>
      <c r="H34" s="30"/>
      <c r="I34" s="3"/>
      <c r="J34" s="31" t="s">
        <v>60</v>
      </c>
      <c r="K34" s="31"/>
      <c r="L34" s="31"/>
      <c r="M34" s="57">
        <f>5795000</f>
        <v>5795000</v>
      </c>
      <c r="N34" s="57"/>
      <c r="O34" s="57"/>
      <c r="P34" s="57">
        <f>706457.68</f>
        <v>706457.68</v>
      </c>
      <c r="Q34" s="57"/>
      <c r="R34" s="57"/>
      <c r="S34" s="57"/>
      <c r="T34" s="57"/>
      <c r="U34" s="58">
        <f>5088542.32</f>
        <v>5088542.32</v>
      </c>
      <c r="V34" s="58"/>
      <c r="W34" s="58"/>
    </row>
    <row r="35" spans="1:23" s="1" customFormat="1" ht="14.1" customHeight="1" x14ac:dyDescent="0.2">
      <c r="A35" s="30" t="s">
        <v>61</v>
      </c>
      <c r="B35" s="30"/>
      <c r="C35" s="30"/>
      <c r="D35" s="30"/>
      <c r="E35" s="30"/>
      <c r="F35" s="30"/>
      <c r="G35" s="30"/>
      <c r="H35" s="30"/>
      <c r="I35" s="3"/>
      <c r="J35" s="31" t="s">
        <v>62</v>
      </c>
      <c r="K35" s="31"/>
      <c r="L35" s="31"/>
      <c r="M35" s="57">
        <f>5520000</f>
        <v>5520000</v>
      </c>
      <c r="N35" s="57"/>
      <c r="O35" s="57"/>
      <c r="P35" s="57">
        <f>3121779.97</f>
        <v>3121779.97</v>
      </c>
      <c r="Q35" s="57"/>
      <c r="R35" s="57"/>
      <c r="S35" s="57"/>
      <c r="T35" s="57"/>
      <c r="U35" s="58">
        <f>2398220.03</f>
        <v>2398220.0299999998</v>
      </c>
      <c r="V35" s="58"/>
      <c r="W35" s="58"/>
    </row>
    <row r="36" spans="1:23" s="1" customFormat="1" ht="14.1" customHeight="1" x14ac:dyDescent="0.2">
      <c r="A36" s="30" t="s">
        <v>63</v>
      </c>
      <c r="B36" s="30"/>
      <c r="C36" s="30"/>
      <c r="D36" s="30"/>
      <c r="E36" s="30"/>
      <c r="F36" s="30"/>
      <c r="G36" s="30"/>
      <c r="H36" s="30"/>
      <c r="I36" s="3"/>
      <c r="J36" s="31" t="s">
        <v>64</v>
      </c>
      <c r="K36" s="31"/>
      <c r="L36" s="31"/>
      <c r="M36" s="57">
        <f>2300000</f>
        <v>2300000</v>
      </c>
      <c r="N36" s="57"/>
      <c r="O36" s="57"/>
      <c r="P36" s="57">
        <f>2207978.1</f>
        <v>2207978.1</v>
      </c>
      <c r="Q36" s="57"/>
      <c r="R36" s="57"/>
      <c r="S36" s="57"/>
      <c r="T36" s="57"/>
      <c r="U36" s="58">
        <f>92021.9</f>
        <v>92021.9</v>
      </c>
      <c r="V36" s="58"/>
      <c r="W36" s="58"/>
    </row>
    <row r="37" spans="1:23" s="1" customFormat="1" ht="24" customHeight="1" x14ac:dyDescent="0.2">
      <c r="A37" s="30" t="s">
        <v>65</v>
      </c>
      <c r="B37" s="30"/>
      <c r="C37" s="30"/>
      <c r="D37" s="30"/>
      <c r="E37" s="30"/>
      <c r="F37" s="30"/>
      <c r="G37" s="30"/>
      <c r="H37" s="30"/>
      <c r="I37" s="3"/>
      <c r="J37" s="31" t="s">
        <v>66</v>
      </c>
      <c r="K37" s="31"/>
      <c r="L37" s="31"/>
      <c r="M37" s="57">
        <f>2300000</f>
        <v>2300000</v>
      </c>
      <c r="N37" s="57"/>
      <c r="O37" s="57"/>
      <c r="P37" s="57">
        <f>2207978.1</f>
        <v>2207978.1</v>
      </c>
      <c r="Q37" s="57"/>
      <c r="R37" s="57"/>
      <c r="S37" s="57"/>
      <c r="T37" s="57"/>
      <c r="U37" s="58">
        <f>92021.9</f>
        <v>92021.9</v>
      </c>
      <c r="V37" s="58"/>
      <c r="W37" s="58"/>
    </row>
    <row r="38" spans="1:23" s="1" customFormat="1" ht="14.1" customHeight="1" x14ac:dyDescent="0.2">
      <c r="A38" s="30" t="s">
        <v>67</v>
      </c>
      <c r="B38" s="30"/>
      <c r="C38" s="30"/>
      <c r="D38" s="30"/>
      <c r="E38" s="30"/>
      <c r="F38" s="30"/>
      <c r="G38" s="30"/>
      <c r="H38" s="30"/>
      <c r="I38" s="3"/>
      <c r="J38" s="31" t="s">
        <v>68</v>
      </c>
      <c r="K38" s="31"/>
      <c r="L38" s="31"/>
      <c r="M38" s="57">
        <f>3220000</f>
        <v>3220000</v>
      </c>
      <c r="N38" s="57"/>
      <c r="O38" s="57"/>
      <c r="P38" s="57">
        <f>913801.87</f>
        <v>913801.87</v>
      </c>
      <c r="Q38" s="57"/>
      <c r="R38" s="57"/>
      <c r="S38" s="57"/>
      <c r="T38" s="57"/>
      <c r="U38" s="58">
        <f>2306198.13</f>
        <v>2306198.13</v>
      </c>
      <c r="V38" s="58"/>
      <c r="W38" s="58"/>
    </row>
    <row r="39" spans="1:23" s="1" customFormat="1" ht="24" customHeight="1" x14ac:dyDescent="0.2">
      <c r="A39" s="30" t="s">
        <v>69</v>
      </c>
      <c r="B39" s="30"/>
      <c r="C39" s="30"/>
      <c r="D39" s="30"/>
      <c r="E39" s="30"/>
      <c r="F39" s="30"/>
      <c r="G39" s="30"/>
      <c r="H39" s="30"/>
      <c r="I39" s="3"/>
      <c r="J39" s="31" t="s">
        <v>70</v>
      </c>
      <c r="K39" s="31"/>
      <c r="L39" s="31"/>
      <c r="M39" s="57">
        <f>3220000</f>
        <v>3220000</v>
      </c>
      <c r="N39" s="57"/>
      <c r="O39" s="57"/>
      <c r="P39" s="57">
        <f>913801.87</f>
        <v>913801.87</v>
      </c>
      <c r="Q39" s="57"/>
      <c r="R39" s="57"/>
      <c r="S39" s="57"/>
      <c r="T39" s="57"/>
      <c r="U39" s="58">
        <f>2306198.13</f>
        <v>2306198.13</v>
      </c>
      <c r="V39" s="58"/>
      <c r="W39" s="58"/>
    </row>
    <row r="40" spans="1:23" s="1" customFormat="1" ht="24" customHeight="1" x14ac:dyDescent="0.2">
      <c r="A40" s="30" t="s">
        <v>71</v>
      </c>
      <c r="B40" s="30"/>
      <c r="C40" s="30"/>
      <c r="D40" s="30"/>
      <c r="E40" s="30"/>
      <c r="F40" s="30"/>
      <c r="G40" s="30"/>
      <c r="H40" s="30"/>
      <c r="I40" s="3"/>
      <c r="J40" s="31" t="s">
        <v>72</v>
      </c>
      <c r="K40" s="31"/>
      <c r="L40" s="31"/>
      <c r="M40" s="33" t="s">
        <v>43</v>
      </c>
      <c r="N40" s="33"/>
      <c r="O40" s="33"/>
      <c r="P40" s="57">
        <f>4.59</f>
        <v>4.59</v>
      </c>
      <c r="Q40" s="57"/>
      <c r="R40" s="57"/>
      <c r="S40" s="57"/>
      <c r="T40" s="57"/>
      <c r="U40" s="60" t="s">
        <v>43</v>
      </c>
      <c r="V40" s="60"/>
      <c r="W40" s="60"/>
    </row>
    <row r="41" spans="1:23" s="1" customFormat="1" ht="14.1" customHeight="1" x14ac:dyDescent="0.2">
      <c r="A41" s="30" t="s">
        <v>73</v>
      </c>
      <c r="B41" s="30"/>
      <c r="C41" s="30"/>
      <c r="D41" s="30"/>
      <c r="E41" s="30"/>
      <c r="F41" s="30"/>
      <c r="G41" s="30"/>
      <c r="H41" s="30"/>
      <c r="I41" s="3"/>
      <c r="J41" s="31" t="s">
        <v>74</v>
      </c>
      <c r="K41" s="31"/>
      <c r="L41" s="31"/>
      <c r="M41" s="33" t="s">
        <v>43</v>
      </c>
      <c r="N41" s="33"/>
      <c r="O41" s="33"/>
      <c r="P41" s="57">
        <f>4.59</f>
        <v>4.59</v>
      </c>
      <c r="Q41" s="57"/>
      <c r="R41" s="57"/>
      <c r="S41" s="57"/>
      <c r="T41" s="57"/>
      <c r="U41" s="60" t="s">
        <v>43</v>
      </c>
      <c r="V41" s="60"/>
      <c r="W41" s="60"/>
    </row>
    <row r="42" spans="1:23" s="1" customFormat="1" ht="14.1" customHeight="1" x14ac:dyDescent="0.2">
      <c r="A42" s="30" t="s">
        <v>75</v>
      </c>
      <c r="B42" s="30"/>
      <c r="C42" s="30"/>
      <c r="D42" s="30"/>
      <c r="E42" s="30"/>
      <c r="F42" s="30"/>
      <c r="G42" s="30"/>
      <c r="H42" s="30"/>
      <c r="I42" s="3"/>
      <c r="J42" s="31" t="s">
        <v>76</v>
      </c>
      <c r="K42" s="31"/>
      <c r="L42" s="31"/>
      <c r="M42" s="33" t="s">
        <v>43</v>
      </c>
      <c r="N42" s="33"/>
      <c r="O42" s="33"/>
      <c r="P42" s="57">
        <f>4.59</f>
        <v>4.59</v>
      </c>
      <c r="Q42" s="57"/>
      <c r="R42" s="57"/>
      <c r="S42" s="57"/>
      <c r="T42" s="57"/>
      <c r="U42" s="60" t="s">
        <v>43</v>
      </c>
      <c r="V42" s="60"/>
      <c r="W42" s="60"/>
    </row>
    <row r="43" spans="1:23" s="1" customFormat="1" ht="24" customHeight="1" x14ac:dyDescent="0.2">
      <c r="A43" s="30" t="s">
        <v>77</v>
      </c>
      <c r="B43" s="30"/>
      <c r="C43" s="30"/>
      <c r="D43" s="30"/>
      <c r="E43" s="30"/>
      <c r="F43" s="30"/>
      <c r="G43" s="30"/>
      <c r="H43" s="30"/>
      <c r="I43" s="3"/>
      <c r="J43" s="31" t="s">
        <v>78</v>
      </c>
      <c r="K43" s="31"/>
      <c r="L43" s="31"/>
      <c r="M43" s="33" t="s">
        <v>43</v>
      </c>
      <c r="N43" s="33"/>
      <c r="O43" s="33"/>
      <c r="P43" s="57">
        <f>4.59</f>
        <v>4.59</v>
      </c>
      <c r="Q43" s="57"/>
      <c r="R43" s="57"/>
      <c r="S43" s="57"/>
      <c r="T43" s="57"/>
      <c r="U43" s="60" t="s">
        <v>43</v>
      </c>
      <c r="V43" s="60"/>
      <c r="W43" s="60"/>
    </row>
    <row r="44" spans="1:23" s="1" customFormat="1" ht="24" customHeight="1" x14ac:dyDescent="0.2">
      <c r="A44" s="30" t="s">
        <v>79</v>
      </c>
      <c r="B44" s="30"/>
      <c r="C44" s="30"/>
      <c r="D44" s="30"/>
      <c r="E44" s="30"/>
      <c r="F44" s="30"/>
      <c r="G44" s="30"/>
      <c r="H44" s="30"/>
      <c r="I44" s="3"/>
      <c r="J44" s="31" t="s">
        <v>80</v>
      </c>
      <c r="K44" s="31"/>
      <c r="L44" s="31"/>
      <c r="M44" s="57">
        <f>195000</f>
        <v>195000</v>
      </c>
      <c r="N44" s="57"/>
      <c r="O44" s="57"/>
      <c r="P44" s="57">
        <f>119807</f>
        <v>119807</v>
      </c>
      <c r="Q44" s="57"/>
      <c r="R44" s="57"/>
      <c r="S44" s="57"/>
      <c r="T44" s="57"/>
      <c r="U44" s="58">
        <f>75193</f>
        <v>75193</v>
      </c>
      <c r="V44" s="58"/>
      <c r="W44" s="58"/>
    </row>
    <row r="45" spans="1:23" s="1" customFormat="1" ht="54.95" customHeight="1" x14ac:dyDescent="0.2">
      <c r="A45" s="30" t="s">
        <v>81</v>
      </c>
      <c r="B45" s="30"/>
      <c r="C45" s="30"/>
      <c r="D45" s="30"/>
      <c r="E45" s="30"/>
      <c r="F45" s="30"/>
      <c r="G45" s="30"/>
      <c r="H45" s="30"/>
      <c r="I45" s="3"/>
      <c r="J45" s="31" t="s">
        <v>82</v>
      </c>
      <c r="K45" s="31"/>
      <c r="L45" s="31"/>
      <c r="M45" s="57">
        <f>195000</f>
        <v>195000</v>
      </c>
      <c r="N45" s="57"/>
      <c r="O45" s="57"/>
      <c r="P45" s="57">
        <f>119807</f>
        <v>119807</v>
      </c>
      <c r="Q45" s="57"/>
      <c r="R45" s="57"/>
      <c r="S45" s="57"/>
      <c r="T45" s="57"/>
      <c r="U45" s="58">
        <f>75193</f>
        <v>75193</v>
      </c>
      <c r="V45" s="58"/>
      <c r="W45" s="58"/>
    </row>
    <row r="46" spans="1:23" s="1" customFormat="1" ht="45" customHeight="1" x14ac:dyDescent="0.2">
      <c r="A46" s="30" t="s">
        <v>83</v>
      </c>
      <c r="B46" s="30"/>
      <c r="C46" s="30"/>
      <c r="D46" s="30"/>
      <c r="E46" s="30"/>
      <c r="F46" s="30"/>
      <c r="G46" s="30"/>
      <c r="H46" s="30"/>
      <c r="I46" s="3"/>
      <c r="J46" s="31" t="s">
        <v>84</v>
      </c>
      <c r="K46" s="31"/>
      <c r="L46" s="31"/>
      <c r="M46" s="57">
        <f>150000</f>
        <v>150000</v>
      </c>
      <c r="N46" s="57"/>
      <c r="O46" s="57"/>
      <c r="P46" s="57">
        <f>80302</f>
        <v>80302</v>
      </c>
      <c r="Q46" s="57"/>
      <c r="R46" s="57"/>
      <c r="S46" s="57"/>
      <c r="T46" s="57"/>
      <c r="U46" s="58">
        <f>69698</f>
        <v>69698</v>
      </c>
      <c r="V46" s="58"/>
      <c r="W46" s="58"/>
    </row>
    <row r="47" spans="1:23" s="1" customFormat="1" ht="45" customHeight="1" x14ac:dyDescent="0.2">
      <c r="A47" s="30" t="s">
        <v>85</v>
      </c>
      <c r="B47" s="30"/>
      <c r="C47" s="30"/>
      <c r="D47" s="30"/>
      <c r="E47" s="30"/>
      <c r="F47" s="30"/>
      <c r="G47" s="30"/>
      <c r="H47" s="30"/>
      <c r="I47" s="3"/>
      <c r="J47" s="31" t="s">
        <v>86</v>
      </c>
      <c r="K47" s="31"/>
      <c r="L47" s="31"/>
      <c r="M47" s="57">
        <f>150000</f>
        <v>150000</v>
      </c>
      <c r="N47" s="57"/>
      <c r="O47" s="57"/>
      <c r="P47" s="57">
        <f>80302</f>
        <v>80302</v>
      </c>
      <c r="Q47" s="57"/>
      <c r="R47" s="57"/>
      <c r="S47" s="57"/>
      <c r="T47" s="57"/>
      <c r="U47" s="58">
        <f>69698</f>
        <v>69698</v>
      </c>
      <c r="V47" s="58"/>
      <c r="W47" s="58"/>
    </row>
    <row r="48" spans="1:23" s="1" customFormat="1" ht="54.95" customHeight="1" x14ac:dyDescent="0.2">
      <c r="A48" s="30" t="s">
        <v>87</v>
      </c>
      <c r="B48" s="30"/>
      <c r="C48" s="30"/>
      <c r="D48" s="30"/>
      <c r="E48" s="30"/>
      <c r="F48" s="30"/>
      <c r="G48" s="30"/>
      <c r="H48" s="30"/>
      <c r="I48" s="3"/>
      <c r="J48" s="31" t="s">
        <v>88</v>
      </c>
      <c r="K48" s="31"/>
      <c r="L48" s="31"/>
      <c r="M48" s="57">
        <f>45000</f>
        <v>45000</v>
      </c>
      <c r="N48" s="57"/>
      <c r="O48" s="57"/>
      <c r="P48" s="57">
        <f>39505</f>
        <v>39505</v>
      </c>
      <c r="Q48" s="57"/>
      <c r="R48" s="57"/>
      <c r="S48" s="57"/>
      <c r="T48" s="57"/>
      <c r="U48" s="58">
        <f>5495</f>
        <v>5495</v>
      </c>
      <c r="V48" s="58"/>
      <c r="W48" s="58"/>
    </row>
    <row r="49" spans="1:23" s="1" customFormat="1" ht="33.950000000000003" customHeight="1" x14ac:dyDescent="0.2">
      <c r="A49" s="30" t="s">
        <v>89</v>
      </c>
      <c r="B49" s="30"/>
      <c r="C49" s="30"/>
      <c r="D49" s="30"/>
      <c r="E49" s="30"/>
      <c r="F49" s="30"/>
      <c r="G49" s="30"/>
      <c r="H49" s="30"/>
      <c r="I49" s="3"/>
      <c r="J49" s="31" t="s">
        <v>90</v>
      </c>
      <c r="K49" s="31"/>
      <c r="L49" s="31"/>
      <c r="M49" s="57">
        <f>45000</f>
        <v>45000</v>
      </c>
      <c r="N49" s="57"/>
      <c r="O49" s="57"/>
      <c r="P49" s="57">
        <f>39505</f>
        <v>39505</v>
      </c>
      <c r="Q49" s="57"/>
      <c r="R49" s="57"/>
      <c r="S49" s="57"/>
      <c r="T49" s="57"/>
      <c r="U49" s="58">
        <f>5495</f>
        <v>5495</v>
      </c>
      <c r="V49" s="58"/>
      <c r="W49" s="58"/>
    </row>
    <row r="50" spans="1:23" s="1" customFormat="1" ht="24" customHeight="1" x14ac:dyDescent="0.2">
      <c r="A50" s="30" t="s">
        <v>91</v>
      </c>
      <c r="B50" s="30"/>
      <c r="C50" s="30"/>
      <c r="D50" s="30"/>
      <c r="E50" s="30"/>
      <c r="F50" s="30"/>
      <c r="G50" s="30"/>
      <c r="H50" s="30"/>
      <c r="I50" s="3"/>
      <c r="J50" s="31" t="s">
        <v>92</v>
      </c>
      <c r="K50" s="31"/>
      <c r="L50" s="31"/>
      <c r="M50" s="57">
        <f>98659</f>
        <v>98659</v>
      </c>
      <c r="N50" s="57"/>
      <c r="O50" s="57"/>
      <c r="P50" s="57">
        <f>98659.14</f>
        <v>98659.14</v>
      </c>
      <c r="Q50" s="57"/>
      <c r="R50" s="57"/>
      <c r="S50" s="57"/>
      <c r="T50" s="57"/>
      <c r="U50" s="60" t="s">
        <v>43</v>
      </c>
      <c r="V50" s="60"/>
      <c r="W50" s="60"/>
    </row>
    <row r="51" spans="1:23" s="1" customFormat="1" ht="14.1" customHeight="1" x14ac:dyDescent="0.2">
      <c r="A51" s="30" t="s">
        <v>93</v>
      </c>
      <c r="B51" s="30"/>
      <c r="C51" s="30"/>
      <c r="D51" s="30"/>
      <c r="E51" s="30"/>
      <c r="F51" s="30"/>
      <c r="G51" s="30"/>
      <c r="H51" s="30"/>
      <c r="I51" s="3"/>
      <c r="J51" s="31" t="s">
        <v>94</v>
      </c>
      <c r="K51" s="31"/>
      <c r="L51" s="31"/>
      <c r="M51" s="57">
        <f>98659</f>
        <v>98659</v>
      </c>
      <c r="N51" s="57"/>
      <c r="O51" s="57"/>
      <c r="P51" s="57">
        <f>98659.14</f>
        <v>98659.14</v>
      </c>
      <c r="Q51" s="57"/>
      <c r="R51" s="57"/>
      <c r="S51" s="57"/>
      <c r="T51" s="57"/>
      <c r="U51" s="60" t="s">
        <v>43</v>
      </c>
      <c r="V51" s="60"/>
      <c r="W51" s="60"/>
    </row>
    <row r="52" spans="1:23" s="1" customFormat="1" ht="14.1" customHeight="1" x14ac:dyDescent="0.2">
      <c r="A52" s="30" t="s">
        <v>95</v>
      </c>
      <c r="B52" s="30"/>
      <c r="C52" s="30"/>
      <c r="D52" s="30"/>
      <c r="E52" s="30"/>
      <c r="F52" s="30"/>
      <c r="G52" s="30"/>
      <c r="H52" s="30"/>
      <c r="I52" s="3"/>
      <c r="J52" s="31" t="s">
        <v>96</v>
      </c>
      <c r="K52" s="31"/>
      <c r="L52" s="31"/>
      <c r="M52" s="57">
        <f>98659</f>
        <v>98659</v>
      </c>
      <c r="N52" s="57"/>
      <c r="O52" s="57"/>
      <c r="P52" s="57">
        <f>98659.14</f>
        <v>98659.14</v>
      </c>
      <c r="Q52" s="57"/>
      <c r="R52" s="57"/>
      <c r="S52" s="57"/>
      <c r="T52" s="57"/>
      <c r="U52" s="60" t="s">
        <v>43</v>
      </c>
      <c r="V52" s="60"/>
      <c r="W52" s="60"/>
    </row>
    <row r="53" spans="1:23" s="1" customFormat="1" ht="14.1" customHeight="1" x14ac:dyDescent="0.2">
      <c r="A53" s="30" t="s">
        <v>97</v>
      </c>
      <c r="B53" s="30"/>
      <c r="C53" s="30"/>
      <c r="D53" s="30"/>
      <c r="E53" s="30"/>
      <c r="F53" s="30"/>
      <c r="G53" s="30"/>
      <c r="H53" s="30"/>
      <c r="I53" s="3"/>
      <c r="J53" s="31" t="s">
        <v>98</v>
      </c>
      <c r="K53" s="31"/>
      <c r="L53" s="31"/>
      <c r="M53" s="57">
        <f>98659</f>
        <v>98659</v>
      </c>
      <c r="N53" s="57"/>
      <c r="O53" s="57"/>
      <c r="P53" s="57">
        <f>98659.14</f>
        <v>98659.14</v>
      </c>
      <c r="Q53" s="57"/>
      <c r="R53" s="57"/>
      <c r="S53" s="57"/>
      <c r="T53" s="57"/>
      <c r="U53" s="60" t="s">
        <v>43</v>
      </c>
      <c r="V53" s="60"/>
      <c r="W53" s="60"/>
    </row>
    <row r="54" spans="1:23" s="1" customFormat="1" ht="14.1" customHeight="1" x14ac:dyDescent="0.2">
      <c r="A54" s="30" t="s">
        <v>99</v>
      </c>
      <c r="B54" s="30"/>
      <c r="C54" s="30"/>
      <c r="D54" s="30"/>
      <c r="E54" s="30"/>
      <c r="F54" s="30"/>
      <c r="G54" s="30"/>
      <c r="H54" s="30"/>
      <c r="I54" s="3"/>
      <c r="J54" s="31" t="s">
        <v>100</v>
      </c>
      <c r="K54" s="31"/>
      <c r="L54" s="31"/>
      <c r="M54" s="57">
        <f>107000</f>
        <v>107000</v>
      </c>
      <c r="N54" s="57"/>
      <c r="O54" s="57"/>
      <c r="P54" s="57">
        <f>83919.45</f>
        <v>83919.45</v>
      </c>
      <c r="Q54" s="57"/>
      <c r="R54" s="57"/>
      <c r="S54" s="57"/>
      <c r="T54" s="57"/>
      <c r="U54" s="58">
        <f>23080.55</f>
        <v>23080.55</v>
      </c>
      <c r="V54" s="58"/>
      <c r="W54" s="58"/>
    </row>
    <row r="55" spans="1:23" s="1" customFormat="1" ht="66" customHeight="1" x14ac:dyDescent="0.2">
      <c r="A55" s="30" t="s">
        <v>101</v>
      </c>
      <c r="B55" s="30"/>
      <c r="C55" s="30"/>
      <c r="D55" s="30"/>
      <c r="E55" s="30"/>
      <c r="F55" s="30"/>
      <c r="G55" s="30"/>
      <c r="H55" s="30"/>
      <c r="I55" s="3"/>
      <c r="J55" s="31" t="s">
        <v>102</v>
      </c>
      <c r="K55" s="31"/>
      <c r="L55" s="31"/>
      <c r="M55" s="57">
        <f>107000</f>
        <v>107000</v>
      </c>
      <c r="N55" s="57"/>
      <c r="O55" s="57"/>
      <c r="P55" s="57">
        <f>83919.45</f>
        <v>83919.45</v>
      </c>
      <c r="Q55" s="57"/>
      <c r="R55" s="57"/>
      <c r="S55" s="57"/>
      <c r="T55" s="57"/>
      <c r="U55" s="58">
        <f>23080.55</f>
        <v>23080.55</v>
      </c>
      <c r="V55" s="58"/>
      <c r="W55" s="58"/>
    </row>
    <row r="56" spans="1:23" s="1" customFormat="1" ht="33.950000000000003" customHeight="1" x14ac:dyDescent="0.2">
      <c r="A56" s="30" t="s">
        <v>103</v>
      </c>
      <c r="B56" s="30"/>
      <c r="C56" s="30"/>
      <c r="D56" s="30"/>
      <c r="E56" s="30"/>
      <c r="F56" s="30"/>
      <c r="G56" s="30"/>
      <c r="H56" s="30"/>
      <c r="I56" s="3"/>
      <c r="J56" s="31" t="s">
        <v>104</v>
      </c>
      <c r="K56" s="31"/>
      <c r="L56" s="31"/>
      <c r="M56" s="57">
        <f>107000</f>
        <v>107000</v>
      </c>
      <c r="N56" s="57"/>
      <c r="O56" s="57"/>
      <c r="P56" s="57">
        <f>83919.45</f>
        <v>83919.45</v>
      </c>
      <c r="Q56" s="57"/>
      <c r="R56" s="57"/>
      <c r="S56" s="57"/>
      <c r="T56" s="57"/>
      <c r="U56" s="58">
        <f>23080.55</f>
        <v>23080.55</v>
      </c>
      <c r="V56" s="58"/>
      <c r="W56" s="58"/>
    </row>
    <row r="57" spans="1:23" s="1" customFormat="1" ht="45" customHeight="1" x14ac:dyDescent="0.2">
      <c r="A57" s="30" t="s">
        <v>105</v>
      </c>
      <c r="B57" s="30"/>
      <c r="C57" s="30"/>
      <c r="D57" s="30"/>
      <c r="E57" s="30"/>
      <c r="F57" s="30"/>
      <c r="G57" s="30"/>
      <c r="H57" s="30"/>
      <c r="I57" s="3"/>
      <c r="J57" s="31" t="s">
        <v>106</v>
      </c>
      <c r="K57" s="31"/>
      <c r="L57" s="31"/>
      <c r="M57" s="57">
        <f>107000</f>
        <v>107000</v>
      </c>
      <c r="N57" s="57"/>
      <c r="O57" s="57"/>
      <c r="P57" s="57">
        <f>83919.45</f>
        <v>83919.45</v>
      </c>
      <c r="Q57" s="57"/>
      <c r="R57" s="57"/>
      <c r="S57" s="57"/>
      <c r="T57" s="57"/>
      <c r="U57" s="58">
        <f>23080.55</f>
        <v>23080.55</v>
      </c>
      <c r="V57" s="58"/>
      <c r="W57" s="58"/>
    </row>
    <row r="58" spans="1:23" s="1" customFormat="1" ht="14.1" customHeight="1" x14ac:dyDescent="0.2">
      <c r="A58" s="30" t="s">
        <v>107</v>
      </c>
      <c r="B58" s="30"/>
      <c r="C58" s="30"/>
      <c r="D58" s="30"/>
      <c r="E58" s="30"/>
      <c r="F58" s="30"/>
      <c r="G58" s="30"/>
      <c r="H58" s="30"/>
      <c r="I58" s="3"/>
      <c r="J58" s="31" t="s">
        <v>108</v>
      </c>
      <c r="K58" s="31"/>
      <c r="L58" s="31"/>
      <c r="M58" s="33" t="s">
        <v>43</v>
      </c>
      <c r="N58" s="33"/>
      <c r="O58" s="33"/>
      <c r="P58" s="57">
        <f>-80302</f>
        <v>-80302</v>
      </c>
      <c r="Q58" s="57"/>
      <c r="R58" s="57"/>
      <c r="S58" s="57"/>
      <c r="T58" s="57"/>
      <c r="U58" s="60" t="s">
        <v>43</v>
      </c>
      <c r="V58" s="60"/>
      <c r="W58" s="60"/>
    </row>
    <row r="59" spans="1:23" s="1" customFormat="1" ht="14.1" customHeight="1" x14ac:dyDescent="0.2">
      <c r="A59" s="30" t="s">
        <v>109</v>
      </c>
      <c r="B59" s="30"/>
      <c r="C59" s="30"/>
      <c r="D59" s="30"/>
      <c r="E59" s="30"/>
      <c r="F59" s="30"/>
      <c r="G59" s="30"/>
      <c r="H59" s="30"/>
      <c r="I59" s="3"/>
      <c r="J59" s="31" t="s">
        <v>110</v>
      </c>
      <c r="K59" s="31"/>
      <c r="L59" s="31"/>
      <c r="M59" s="33" t="s">
        <v>43</v>
      </c>
      <c r="N59" s="33"/>
      <c r="O59" s="33"/>
      <c r="P59" s="57">
        <f>-80302</f>
        <v>-80302</v>
      </c>
      <c r="Q59" s="57"/>
      <c r="R59" s="57"/>
      <c r="S59" s="57"/>
      <c r="T59" s="57"/>
      <c r="U59" s="60" t="s">
        <v>43</v>
      </c>
      <c r="V59" s="60"/>
      <c r="W59" s="60"/>
    </row>
    <row r="60" spans="1:23" s="1" customFormat="1" ht="14.1" customHeight="1" x14ac:dyDescent="0.2">
      <c r="A60" s="30" t="s">
        <v>111</v>
      </c>
      <c r="B60" s="30"/>
      <c r="C60" s="30"/>
      <c r="D60" s="30"/>
      <c r="E60" s="30"/>
      <c r="F60" s="30"/>
      <c r="G60" s="30"/>
      <c r="H60" s="30"/>
      <c r="I60" s="3"/>
      <c r="J60" s="31" t="s">
        <v>112</v>
      </c>
      <c r="K60" s="31"/>
      <c r="L60" s="31"/>
      <c r="M60" s="33" t="s">
        <v>43</v>
      </c>
      <c r="N60" s="33"/>
      <c r="O60" s="33"/>
      <c r="P60" s="57">
        <f>-80302</f>
        <v>-80302</v>
      </c>
      <c r="Q60" s="57"/>
      <c r="R60" s="57"/>
      <c r="S60" s="57"/>
      <c r="T60" s="57"/>
      <c r="U60" s="60" t="s">
        <v>43</v>
      </c>
      <c r="V60" s="60"/>
      <c r="W60" s="60"/>
    </row>
    <row r="61" spans="1:23" s="1" customFormat="1" ht="14.1" customHeight="1" x14ac:dyDescent="0.2">
      <c r="A61" s="30" t="s">
        <v>113</v>
      </c>
      <c r="B61" s="30"/>
      <c r="C61" s="30"/>
      <c r="D61" s="30"/>
      <c r="E61" s="30"/>
      <c r="F61" s="30"/>
      <c r="G61" s="30"/>
      <c r="H61" s="30"/>
      <c r="I61" s="3"/>
      <c r="J61" s="31" t="s">
        <v>114</v>
      </c>
      <c r="K61" s="31"/>
      <c r="L61" s="31"/>
      <c r="M61" s="57">
        <f>46767850</f>
        <v>46767850</v>
      </c>
      <c r="N61" s="57"/>
      <c r="O61" s="57"/>
      <c r="P61" s="57">
        <f>46580695.79</f>
        <v>46580695.789999999</v>
      </c>
      <c r="Q61" s="57"/>
      <c r="R61" s="57"/>
      <c r="S61" s="57"/>
      <c r="T61" s="57"/>
      <c r="U61" s="58">
        <f>187154.21</f>
        <v>187154.21</v>
      </c>
      <c r="V61" s="58"/>
      <c r="W61" s="58"/>
    </row>
    <row r="62" spans="1:23" s="1" customFormat="1" ht="24" customHeight="1" x14ac:dyDescent="0.2">
      <c r="A62" s="30" t="s">
        <v>115</v>
      </c>
      <c r="B62" s="30"/>
      <c r="C62" s="30"/>
      <c r="D62" s="30"/>
      <c r="E62" s="30"/>
      <c r="F62" s="30"/>
      <c r="G62" s="30"/>
      <c r="H62" s="30"/>
      <c r="I62" s="3"/>
      <c r="J62" s="31" t="s">
        <v>116</v>
      </c>
      <c r="K62" s="31"/>
      <c r="L62" s="31"/>
      <c r="M62" s="57">
        <f>46692850</f>
        <v>46692850</v>
      </c>
      <c r="N62" s="57"/>
      <c r="O62" s="57"/>
      <c r="P62" s="57">
        <f>46509175.79</f>
        <v>46509175.789999999</v>
      </c>
      <c r="Q62" s="57"/>
      <c r="R62" s="57"/>
      <c r="S62" s="57"/>
      <c r="T62" s="57"/>
      <c r="U62" s="58">
        <f>183674.21</f>
        <v>183674.21</v>
      </c>
      <c r="V62" s="58"/>
      <c r="W62" s="58"/>
    </row>
    <row r="63" spans="1:23" s="1" customFormat="1" ht="14.1" customHeight="1" x14ac:dyDescent="0.2">
      <c r="A63" s="30" t="s">
        <v>117</v>
      </c>
      <c r="B63" s="30"/>
      <c r="C63" s="30"/>
      <c r="D63" s="30"/>
      <c r="E63" s="30"/>
      <c r="F63" s="30"/>
      <c r="G63" s="30"/>
      <c r="H63" s="30"/>
      <c r="I63" s="3"/>
      <c r="J63" s="31" t="s">
        <v>118</v>
      </c>
      <c r="K63" s="31"/>
      <c r="L63" s="31"/>
      <c r="M63" s="57">
        <f>11098000</f>
        <v>11098000</v>
      </c>
      <c r="N63" s="57"/>
      <c r="O63" s="57"/>
      <c r="P63" s="57">
        <f>11098000</f>
        <v>11098000</v>
      </c>
      <c r="Q63" s="57"/>
      <c r="R63" s="57"/>
      <c r="S63" s="57"/>
      <c r="T63" s="57"/>
      <c r="U63" s="58">
        <f>0</f>
        <v>0</v>
      </c>
      <c r="V63" s="58"/>
      <c r="W63" s="58"/>
    </row>
    <row r="64" spans="1:23" s="1" customFormat="1" ht="14.1" customHeight="1" x14ac:dyDescent="0.2">
      <c r="A64" s="30" t="s">
        <v>119</v>
      </c>
      <c r="B64" s="30"/>
      <c r="C64" s="30"/>
      <c r="D64" s="30"/>
      <c r="E64" s="30"/>
      <c r="F64" s="30"/>
      <c r="G64" s="30"/>
      <c r="H64" s="30"/>
      <c r="I64" s="3"/>
      <c r="J64" s="31" t="s">
        <v>120</v>
      </c>
      <c r="K64" s="31"/>
      <c r="L64" s="31"/>
      <c r="M64" s="57">
        <f>11098000</f>
        <v>11098000</v>
      </c>
      <c r="N64" s="57"/>
      <c r="O64" s="57"/>
      <c r="P64" s="57">
        <f>11098000</f>
        <v>11098000</v>
      </c>
      <c r="Q64" s="57"/>
      <c r="R64" s="57"/>
      <c r="S64" s="57"/>
      <c r="T64" s="57"/>
      <c r="U64" s="58">
        <f>0</f>
        <v>0</v>
      </c>
      <c r="V64" s="58"/>
      <c r="W64" s="58"/>
    </row>
    <row r="65" spans="1:23" s="1" customFormat="1" ht="24" customHeight="1" x14ac:dyDescent="0.2">
      <c r="A65" s="30" t="s">
        <v>121</v>
      </c>
      <c r="B65" s="30"/>
      <c r="C65" s="30"/>
      <c r="D65" s="30"/>
      <c r="E65" s="30"/>
      <c r="F65" s="30"/>
      <c r="G65" s="30"/>
      <c r="H65" s="30"/>
      <c r="I65" s="3"/>
      <c r="J65" s="31" t="s">
        <v>122</v>
      </c>
      <c r="K65" s="31"/>
      <c r="L65" s="31"/>
      <c r="M65" s="57">
        <f>11098000</f>
        <v>11098000</v>
      </c>
      <c r="N65" s="57"/>
      <c r="O65" s="57"/>
      <c r="P65" s="57">
        <f>11098000</f>
        <v>11098000</v>
      </c>
      <c r="Q65" s="57"/>
      <c r="R65" s="57"/>
      <c r="S65" s="57"/>
      <c r="T65" s="57"/>
      <c r="U65" s="58">
        <f>0</f>
        <v>0</v>
      </c>
      <c r="V65" s="58"/>
      <c r="W65" s="58"/>
    </row>
    <row r="66" spans="1:23" s="1" customFormat="1" ht="24" customHeight="1" x14ac:dyDescent="0.2">
      <c r="A66" s="30" t="s">
        <v>123</v>
      </c>
      <c r="B66" s="30"/>
      <c r="C66" s="30"/>
      <c r="D66" s="30"/>
      <c r="E66" s="30"/>
      <c r="F66" s="30"/>
      <c r="G66" s="30"/>
      <c r="H66" s="30"/>
      <c r="I66" s="3"/>
      <c r="J66" s="31" t="s">
        <v>124</v>
      </c>
      <c r="K66" s="31"/>
      <c r="L66" s="31"/>
      <c r="M66" s="57">
        <f>33968800</f>
        <v>33968800</v>
      </c>
      <c r="N66" s="57"/>
      <c r="O66" s="57"/>
      <c r="P66" s="57">
        <f>33968763.09</f>
        <v>33968763.090000004</v>
      </c>
      <c r="Q66" s="57"/>
      <c r="R66" s="57"/>
      <c r="S66" s="57"/>
      <c r="T66" s="57"/>
      <c r="U66" s="58">
        <f>36.91</f>
        <v>36.909999999999997</v>
      </c>
      <c r="V66" s="58"/>
      <c r="W66" s="58"/>
    </row>
    <row r="67" spans="1:23" s="1" customFormat="1" ht="24" customHeight="1" x14ac:dyDescent="0.2">
      <c r="A67" s="30" t="s">
        <v>125</v>
      </c>
      <c r="B67" s="30"/>
      <c r="C67" s="30"/>
      <c r="D67" s="30"/>
      <c r="E67" s="30"/>
      <c r="F67" s="30"/>
      <c r="G67" s="30"/>
      <c r="H67" s="30"/>
      <c r="I67" s="3"/>
      <c r="J67" s="31" t="s">
        <v>126</v>
      </c>
      <c r="K67" s="31"/>
      <c r="L67" s="31"/>
      <c r="M67" s="57">
        <f>2201600</f>
        <v>2201600</v>
      </c>
      <c r="N67" s="57"/>
      <c r="O67" s="57"/>
      <c r="P67" s="57">
        <f>2201600</f>
        <v>2201600</v>
      </c>
      <c r="Q67" s="57"/>
      <c r="R67" s="57"/>
      <c r="S67" s="57"/>
      <c r="T67" s="57"/>
      <c r="U67" s="58">
        <f>0</f>
        <v>0</v>
      </c>
      <c r="V67" s="58"/>
      <c r="W67" s="58"/>
    </row>
    <row r="68" spans="1:23" s="1" customFormat="1" ht="24" customHeight="1" x14ac:dyDescent="0.2">
      <c r="A68" s="30" t="s">
        <v>127</v>
      </c>
      <c r="B68" s="30"/>
      <c r="C68" s="30"/>
      <c r="D68" s="30"/>
      <c r="E68" s="30"/>
      <c r="F68" s="30"/>
      <c r="G68" s="30"/>
      <c r="H68" s="30"/>
      <c r="I68" s="3"/>
      <c r="J68" s="31" t="s">
        <v>128</v>
      </c>
      <c r="K68" s="31"/>
      <c r="L68" s="31"/>
      <c r="M68" s="57">
        <f>2201600</f>
        <v>2201600</v>
      </c>
      <c r="N68" s="57"/>
      <c r="O68" s="57"/>
      <c r="P68" s="57">
        <f>2201600</f>
        <v>2201600</v>
      </c>
      <c r="Q68" s="57"/>
      <c r="R68" s="57"/>
      <c r="S68" s="57"/>
      <c r="T68" s="57"/>
      <c r="U68" s="58">
        <f>0</f>
        <v>0</v>
      </c>
      <c r="V68" s="58"/>
      <c r="W68" s="58"/>
    </row>
    <row r="69" spans="1:23" s="1" customFormat="1" ht="14.1" customHeight="1" x14ac:dyDescent="0.2">
      <c r="A69" s="30" t="s">
        <v>129</v>
      </c>
      <c r="B69" s="30"/>
      <c r="C69" s="30"/>
      <c r="D69" s="30"/>
      <c r="E69" s="30"/>
      <c r="F69" s="30"/>
      <c r="G69" s="30"/>
      <c r="H69" s="30"/>
      <c r="I69" s="3"/>
      <c r="J69" s="31" t="s">
        <v>130</v>
      </c>
      <c r="K69" s="31"/>
      <c r="L69" s="31"/>
      <c r="M69" s="57">
        <f>31767200</f>
        <v>31767200</v>
      </c>
      <c r="N69" s="57"/>
      <c r="O69" s="57"/>
      <c r="P69" s="57">
        <f>31767163.09</f>
        <v>31767163.09</v>
      </c>
      <c r="Q69" s="57"/>
      <c r="R69" s="57"/>
      <c r="S69" s="57"/>
      <c r="T69" s="57"/>
      <c r="U69" s="58">
        <f>36.91</f>
        <v>36.909999999999997</v>
      </c>
      <c r="V69" s="58"/>
      <c r="W69" s="58"/>
    </row>
    <row r="70" spans="1:23" s="1" customFormat="1" ht="14.1" customHeight="1" x14ac:dyDescent="0.2">
      <c r="A70" s="30" t="s">
        <v>131</v>
      </c>
      <c r="B70" s="30"/>
      <c r="C70" s="30"/>
      <c r="D70" s="30"/>
      <c r="E70" s="30"/>
      <c r="F70" s="30"/>
      <c r="G70" s="30"/>
      <c r="H70" s="30"/>
      <c r="I70" s="3"/>
      <c r="J70" s="31" t="s">
        <v>132</v>
      </c>
      <c r="K70" s="31"/>
      <c r="L70" s="31"/>
      <c r="M70" s="57">
        <f>31767200</f>
        <v>31767200</v>
      </c>
      <c r="N70" s="57"/>
      <c r="O70" s="57"/>
      <c r="P70" s="57">
        <f>31767163.09</f>
        <v>31767163.09</v>
      </c>
      <c r="Q70" s="57"/>
      <c r="R70" s="57"/>
      <c r="S70" s="57"/>
      <c r="T70" s="57"/>
      <c r="U70" s="58">
        <f>36.91</f>
        <v>36.909999999999997</v>
      </c>
      <c r="V70" s="58"/>
      <c r="W70" s="58"/>
    </row>
    <row r="71" spans="1:23" s="1" customFormat="1" ht="14.1" customHeight="1" x14ac:dyDescent="0.2">
      <c r="A71" s="30" t="s">
        <v>133</v>
      </c>
      <c r="B71" s="30"/>
      <c r="C71" s="30"/>
      <c r="D71" s="30"/>
      <c r="E71" s="30"/>
      <c r="F71" s="30"/>
      <c r="G71" s="30"/>
      <c r="H71" s="30"/>
      <c r="I71" s="3"/>
      <c r="J71" s="31" t="s">
        <v>134</v>
      </c>
      <c r="K71" s="31"/>
      <c r="L71" s="31"/>
      <c r="M71" s="57">
        <f>527400</f>
        <v>527400</v>
      </c>
      <c r="N71" s="57"/>
      <c r="O71" s="57"/>
      <c r="P71" s="57">
        <f>343762.7</f>
        <v>343762.7</v>
      </c>
      <c r="Q71" s="57"/>
      <c r="R71" s="57"/>
      <c r="S71" s="57"/>
      <c r="T71" s="57"/>
      <c r="U71" s="58">
        <f>183637.3</f>
        <v>183637.3</v>
      </c>
      <c r="V71" s="58"/>
      <c r="W71" s="58"/>
    </row>
    <row r="72" spans="1:23" s="1" customFormat="1" ht="24" customHeight="1" x14ac:dyDescent="0.2">
      <c r="A72" s="30" t="s">
        <v>135</v>
      </c>
      <c r="B72" s="30"/>
      <c r="C72" s="30"/>
      <c r="D72" s="30"/>
      <c r="E72" s="30"/>
      <c r="F72" s="30"/>
      <c r="G72" s="30"/>
      <c r="H72" s="30"/>
      <c r="I72" s="3"/>
      <c r="J72" s="31" t="s">
        <v>136</v>
      </c>
      <c r="K72" s="31"/>
      <c r="L72" s="31"/>
      <c r="M72" s="57">
        <f>7600</f>
        <v>7600</v>
      </c>
      <c r="N72" s="57"/>
      <c r="O72" s="57"/>
      <c r="P72" s="57">
        <f>7600</f>
        <v>7600</v>
      </c>
      <c r="Q72" s="57"/>
      <c r="R72" s="57"/>
      <c r="S72" s="57"/>
      <c r="T72" s="57"/>
      <c r="U72" s="58">
        <f>0</f>
        <v>0</v>
      </c>
      <c r="V72" s="58"/>
      <c r="W72" s="58"/>
    </row>
    <row r="73" spans="1:23" s="1" customFormat="1" ht="24" customHeight="1" x14ac:dyDescent="0.2">
      <c r="A73" s="30" t="s">
        <v>137</v>
      </c>
      <c r="B73" s="30"/>
      <c r="C73" s="30"/>
      <c r="D73" s="30"/>
      <c r="E73" s="30"/>
      <c r="F73" s="30"/>
      <c r="G73" s="30"/>
      <c r="H73" s="30"/>
      <c r="I73" s="3"/>
      <c r="J73" s="31" t="s">
        <v>138</v>
      </c>
      <c r="K73" s="31"/>
      <c r="L73" s="31"/>
      <c r="M73" s="57">
        <f>7600</f>
        <v>7600</v>
      </c>
      <c r="N73" s="57"/>
      <c r="O73" s="57"/>
      <c r="P73" s="57">
        <f>7600</f>
        <v>7600</v>
      </c>
      <c r="Q73" s="57"/>
      <c r="R73" s="57"/>
      <c r="S73" s="57"/>
      <c r="T73" s="57"/>
      <c r="U73" s="58">
        <f>0</f>
        <v>0</v>
      </c>
      <c r="V73" s="58"/>
      <c r="W73" s="58"/>
    </row>
    <row r="74" spans="1:23" s="1" customFormat="1" ht="24" customHeight="1" x14ac:dyDescent="0.2">
      <c r="A74" s="30" t="s">
        <v>139</v>
      </c>
      <c r="B74" s="30"/>
      <c r="C74" s="30"/>
      <c r="D74" s="30"/>
      <c r="E74" s="30"/>
      <c r="F74" s="30"/>
      <c r="G74" s="30"/>
      <c r="H74" s="30"/>
      <c r="I74" s="3"/>
      <c r="J74" s="31" t="s">
        <v>140</v>
      </c>
      <c r="K74" s="31"/>
      <c r="L74" s="31"/>
      <c r="M74" s="57">
        <f>519800</f>
        <v>519800</v>
      </c>
      <c r="N74" s="57"/>
      <c r="O74" s="57"/>
      <c r="P74" s="57">
        <f>336162.7</f>
        <v>336162.7</v>
      </c>
      <c r="Q74" s="57"/>
      <c r="R74" s="57"/>
      <c r="S74" s="57"/>
      <c r="T74" s="57"/>
      <c r="U74" s="58">
        <f>183637.3</f>
        <v>183637.3</v>
      </c>
      <c r="V74" s="58"/>
      <c r="W74" s="58"/>
    </row>
    <row r="75" spans="1:23" s="1" customFormat="1" ht="33.950000000000003" customHeight="1" x14ac:dyDescent="0.2">
      <c r="A75" s="30" t="s">
        <v>141</v>
      </c>
      <c r="B75" s="30"/>
      <c r="C75" s="30"/>
      <c r="D75" s="30"/>
      <c r="E75" s="30"/>
      <c r="F75" s="30"/>
      <c r="G75" s="30"/>
      <c r="H75" s="30"/>
      <c r="I75" s="3"/>
      <c r="J75" s="31" t="s">
        <v>142</v>
      </c>
      <c r="K75" s="31"/>
      <c r="L75" s="31"/>
      <c r="M75" s="57">
        <f>519800</f>
        <v>519800</v>
      </c>
      <c r="N75" s="57"/>
      <c r="O75" s="57"/>
      <c r="P75" s="57">
        <f>336162.7</f>
        <v>336162.7</v>
      </c>
      <c r="Q75" s="57"/>
      <c r="R75" s="57"/>
      <c r="S75" s="57"/>
      <c r="T75" s="57"/>
      <c r="U75" s="58">
        <f>183637.3</f>
        <v>183637.3</v>
      </c>
      <c r="V75" s="58"/>
      <c r="W75" s="58"/>
    </row>
    <row r="76" spans="1:23" s="1" customFormat="1" ht="14.1" customHeight="1" x14ac:dyDescent="0.2">
      <c r="A76" s="30" t="s">
        <v>143</v>
      </c>
      <c r="B76" s="30"/>
      <c r="C76" s="30"/>
      <c r="D76" s="30"/>
      <c r="E76" s="30"/>
      <c r="F76" s="30"/>
      <c r="G76" s="30"/>
      <c r="H76" s="30"/>
      <c r="I76" s="3"/>
      <c r="J76" s="31" t="s">
        <v>144</v>
      </c>
      <c r="K76" s="31"/>
      <c r="L76" s="31"/>
      <c r="M76" s="57">
        <f>1098650</f>
        <v>1098650</v>
      </c>
      <c r="N76" s="57"/>
      <c r="O76" s="57"/>
      <c r="P76" s="57">
        <f>1098650</f>
        <v>1098650</v>
      </c>
      <c r="Q76" s="57"/>
      <c r="R76" s="57"/>
      <c r="S76" s="57"/>
      <c r="T76" s="57"/>
      <c r="U76" s="58">
        <f>0</f>
        <v>0</v>
      </c>
      <c r="V76" s="58"/>
      <c r="W76" s="58"/>
    </row>
    <row r="77" spans="1:23" s="1" customFormat="1" ht="33.950000000000003" customHeight="1" x14ac:dyDescent="0.2">
      <c r="A77" s="30" t="s">
        <v>145</v>
      </c>
      <c r="B77" s="30"/>
      <c r="C77" s="30"/>
      <c r="D77" s="30"/>
      <c r="E77" s="30"/>
      <c r="F77" s="30"/>
      <c r="G77" s="30"/>
      <c r="H77" s="30"/>
      <c r="I77" s="3"/>
      <c r="J77" s="31" t="s">
        <v>146</v>
      </c>
      <c r="K77" s="31"/>
      <c r="L77" s="31"/>
      <c r="M77" s="57">
        <f>1098650</f>
        <v>1098650</v>
      </c>
      <c r="N77" s="57"/>
      <c r="O77" s="57"/>
      <c r="P77" s="57">
        <f>1098650</f>
        <v>1098650</v>
      </c>
      <c r="Q77" s="57"/>
      <c r="R77" s="57"/>
      <c r="S77" s="57"/>
      <c r="T77" s="57"/>
      <c r="U77" s="58">
        <f>0</f>
        <v>0</v>
      </c>
      <c r="V77" s="58"/>
      <c r="W77" s="58"/>
    </row>
    <row r="78" spans="1:23" s="1" customFormat="1" ht="45" customHeight="1" x14ac:dyDescent="0.2">
      <c r="A78" s="30" t="s">
        <v>147</v>
      </c>
      <c r="B78" s="30"/>
      <c r="C78" s="30"/>
      <c r="D78" s="30"/>
      <c r="E78" s="30"/>
      <c r="F78" s="30"/>
      <c r="G78" s="30"/>
      <c r="H78" s="30"/>
      <c r="I78" s="3"/>
      <c r="J78" s="31" t="s">
        <v>148</v>
      </c>
      <c r="K78" s="31"/>
      <c r="L78" s="31"/>
      <c r="M78" s="57">
        <f>1098650</f>
        <v>1098650</v>
      </c>
      <c r="N78" s="57"/>
      <c r="O78" s="57"/>
      <c r="P78" s="57">
        <f>1098650</f>
        <v>1098650</v>
      </c>
      <c r="Q78" s="57"/>
      <c r="R78" s="57"/>
      <c r="S78" s="57"/>
      <c r="T78" s="57"/>
      <c r="U78" s="58">
        <f>0</f>
        <v>0</v>
      </c>
      <c r="V78" s="58"/>
      <c r="W78" s="58"/>
    </row>
    <row r="79" spans="1:23" s="1" customFormat="1" ht="14.1" customHeight="1" x14ac:dyDescent="0.2">
      <c r="A79" s="30" t="s">
        <v>149</v>
      </c>
      <c r="B79" s="30"/>
      <c r="C79" s="30"/>
      <c r="D79" s="30"/>
      <c r="E79" s="30"/>
      <c r="F79" s="30"/>
      <c r="G79" s="30"/>
      <c r="H79" s="30"/>
      <c r="I79" s="3"/>
      <c r="J79" s="31" t="s">
        <v>150</v>
      </c>
      <c r="K79" s="31"/>
      <c r="L79" s="31"/>
      <c r="M79" s="57">
        <f>75000</f>
        <v>75000</v>
      </c>
      <c r="N79" s="57"/>
      <c r="O79" s="57"/>
      <c r="P79" s="57">
        <f>71520</f>
        <v>71520</v>
      </c>
      <c r="Q79" s="57"/>
      <c r="R79" s="57"/>
      <c r="S79" s="57"/>
      <c r="T79" s="57"/>
      <c r="U79" s="58">
        <f>3480</f>
        <v>3480</v>
      </c>
      <c r="V79" s="58"/>
      <c r="W79" s="58"/>
    </row>
    <row r="80" spans="1:23" s="1" customFormat="1" ht="14.1" customHeight="1" x14ac:dyDescent="0.2">
      <c r="A80" s="30" t="s">
        <v>151</v>
      </c>
      <c r="B80" s="30"/>
      <c r="C80" s="30"/>
      <c r="D80" s="30"/>
      <c r="E80" s="30"/>
      <c r="F80" s="30"/>
      <c r="G80" s="30"/>
      <c r="H80" s="30"/>
      <c r="I80" s="3"/>
      <c r="J80" s="31" t="s">
        <v>152</v>
      </c>
      <c r="K80" s="31"/>
      <c r="L80" s="31"/>
      <c r="M80" s="57">
        <f>75000</f>
        <v>75000</v>
      </c>
      <c r="N80" s="57"/>
      <c r="O80" s="57"/>
      <c r="P80" s="57">
        <f>71520</f>
        <v>71520</v>
      </c>
      <c r="Q80" s="57"/>
      <c r="R80" s="57"/>
      <c r="S80" s="57"/>
      <c r="T80" s="57"/>
      <c r="U80" s="58">
        <f>3480</f>
        <v>3480</v>
      </c>
      <c r="V80" s="58"/>
      <c r="W80" s="58"/>
    </row>
    <row r="81" spans="1:23" s="1" customFormat="1" ht="14.1" customHeight="1" thickBot="1" x14ac:dyDescent="0.25">
      <c r="A81" s="30" t="s">
        <v>151</v>
      </c>
      <c r="B81" s="30"/>
      <c r="C81" s="30"/>
      <c r="D81" s="30"/>
      <c r="E81" s="30"/>
      <c r="F81" s="30"/>
      <c r="G81" s="30"/>
      <c r="H81" s="30"/>
      <c r="I81" s="2"/>
      <c r="J81" s="31" t="s">
        <v>153</v>
      </c>
      <c r="K81" s="31"/>
      <c r="L81" s="31"/>
      <c r="M81" s="57">
        <f>75000</f>
        <v>75000</v>
      </c>
      <c r="N81" s="57"/>
      <c r="O81" s="57"/>
      <c r="P81" s="57">
        <f>71520</f>
        <v>71520</v>
      </c>
      <c r="Q81" s="57"/>
      <c r="R81" s="57"/>
      <c r="S81" s="57"/>
      <c r="T81" s="57"/>
      <c r="U81" s="58">
        <f>3480</f>
        <v>3480</v>
      </c>
      <c r="V81" s="58"/>
      <c r="W81" s="58"/>
    </row>
    <row r="82" spans="1:23" s="1" customFormat="1" ht="14.1" customHeight="1" x14ac:dyDescent="0.2">
      <c r="A82" s="59" t="s">
        <v>0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</row>
    <row r="83" spans="1:23" s="1" customFormat="1" ht="14.1" customHeight="1" thickBot="1" x14ac:dyDescent="0.25">
      <c r="A83" s="44" t="s">
        <v>294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1" customFormat="1" ht="35.1" customHeight="1" x14ac:dyDescent="0.2">
      <c r="A84" s="45" t="s">
        <v>1</v>
      </c>
      <c r="B84" s="45"/>
      <c r="C84" s="45"/>
      <c r="D84" s="45"/>
      <c r="E84" s="45"/>
      <c r="F84" s="45"/>
      <c r="G84" s="45"/>
      <c r="H84" s="45"/>
      <c r="I84" s="45" t="s">
        <v>154</v>
      </c>
      <c r="J84" s="45"/>
      <c r="K84" s="45"/>
      <c r="L84" s="46" t="s">
        <v>155</v>
      </c>
      <c r="M84" s="46"/>
      <c r="N84" s="46" t="s">
        <v>3</v>
      </c>
      <c r="O84" s="46"/>
      <c r="P84" s="46"/>
      <c r="Q84" s="46" t="s">
        <v>4</v>
      </c>
      <c r="R84" s="46"/>
      <c r="S84" s="46"/>
      <c r="T84" s="46"/>
      <c r="U84" s="46"/>
      <c r="V84" s="47" t="s">
        <v>5</v>
      </c>
      <c r="W84" s="47"/>
    </row>
    <row r="85" spans="1:23" s="1" customFormat="1" ht="14.1" customHeight="1" thickBot="1" x14ac:dyDescent="0.25">
      <c r="A85" s="35" t="s">
        <v>6</v>
      </c>
      <c r="B85" s="35"/>
      <c r="C85" s="35"/>
      <c r="D85" s="35"/>
      <c r="E85" s="35"/>
      <c r="F85" s="35"/>
      <c r="G85" s="35"/>
      <c r="H85" s="35"/>
      <c r="I85" s="35" t="s">
        <v>7</v>
      </c>
      <c r="J85" s="35"/>
      <c r="K85" s="35"/>
      <c r="L85" s="36" t="s">
        <v>8</v>
      </c>
      <c r="M85" s="36"/>
      <c r="N85" s="36" t="s">
        <v>9</v>
      </c>
      <c r="O85" s="36"/>
      <c r="P85" s="36"/>
      <c r="Q85" s="36" t="s">
        <v>10</v>
      </c>
      <c r="R85" s="36"/>
      <c r="S85" s="36"/>
      <c r="T85" s="36"/>
      <c r="U85" s="36"/>
      <c r="V85" s="37" t="s">
        <v>156</v>
      </c>
      <c r="W85" s="37"/>
    </row>
    <row r="86" spans="1:23" s="1" customFormat="1" ht="14.1" customHeight="1" thickBot="1" x14ac:dyDescent="0.25">
      <c r="A86" s="38" t="s">
        <v>157</v>
      </c>
      <c r="B86" s="38"/>
      <c r="C86" s="38"/>
      <c r="D86" s="38"/>
      <c r="E86" s="38"/>
      <c r="F86" s="38"/>
      <c r="G86" s="38"/>
      <c r="H86" s="38"/>
      <c r="I86" s="39" t="s">
        <v>12</v>
      </c>
      <c r="J86" s="39"/>
      <c r="K86" s="39"/>
      <c r="L86" s="55" t="s">
        <v>12</v>
      </c>
      <c r="M86" s="55"/>
      <c r="N86" s="41">
        <f>108961901.3</f>
        <v>108961901.3</v>
      </c>
      <c r="O86" s="41"/>
      <c r="P86" s="41"/>
      <c r="Q86" s="41">
        <f>80354781.21</f>
        <v>80354781.209999993</v>
      </c>
      <c r="R86" s="41"/>
      <c r="S86" s="41"/>
      <c r="T86" s="41"/>
      <c r="U86" s="41"/>
      <c r="V86" s="56">
        <f>28607120.09</f>
        <v>28607120.09</v>
      </c>
      <c r="W86" s="56"/>
    </row>
    <row r="87" spans="1:23" s="1" customFormat="1" ht="14.1" customHeight="1" x14ac:dyDescent="0.2">
      <c r="A87" s="21" t="s">
        <v>158</v>
      </c>
      <c r="B87" s="21"/>
      <c r="C87" s="21"/>
      <c r="D87" s="21"/>
      <c r="E87" s="21"/>
      <c r="F87" s="21"/>
      <c r="G87" s="21"/>
      <c r="H87" s="21"/>
      <c r="I87" s="22" t="s">
        <v>159</v>
      </c>
      <c r="J87" s="22"/>
      <c r="K87" s="22"/>
      <c r="L87" s="53" t="s">
        <v>160</v>
      </c>
      <c r="M87" s="53"/>
      <c r="N87" s="17">
        <f>925000</f>
        <v>925000</v>
      </c>
      <c r="O87" s="17"/>
      <c r="P87" s="17"/>
      <c r="Q87" s="17">
        <f>704747.1</f>
        <v>704747.1</v>
      </c>
      <c r="R87" s="17"/>
      <c r="S87" s="17"/>
      <c r="T87" s="17"/>
      <c r="U87" s="17"/>
      <c r="V87" s="54">
        <f>220252.9</f>
        <v>220252.9</v>
      </c>
      <c r="W87" s="54"/>
    </row>
    <row r="88" spans="1:23" s="1" customFormat="1" ht="14.1" customHeight="1" x14ac:dyDescent="0.2">
      <c r="A88" s="21" t="s">
        <v>161</v>
      </c>
      <c r="B88" s="21"/>
      <c r="C88" s="21"/>
      <c r="D88" s="21"/>
      <c r="E88" s="21"/>
      <c r="F88" s="21"/>
      <c r="G88" s="21"/>
      <c r="H88" s="21"/>
      <c r="I88" s="22" t="s">
        <v>162</v>
      </c>
      <c r="J88" s="22"/>
      <c r="K88" s="22"/>
      <c r="L88" s="53" t="s">
        <v>163</v>
      </c>
      <c r="M88" s="53"/>
      <c r="N88" s="17">
        <f>280000</f>
        <v>280000</v>
      </c>
      <c r="O88" s="17"/>
      <c r="P88" s="17"/>
      <c r="Q88" s="17">
        <f>200541.31</f>
        <v>200541.31</v>
      </c>
      <c r="R88" s="17"/>
      <c r="S88" s="17"/>
      <c r="T88" s="17"/>
      <c r="U88" s="17"/>
      <c r="V88" s="54">
        <f>79458.69</f>
        <v>79458.69</v>
      </c>
      <c r="W88" s="54"/>
    </row>
    <row r="89" spans="1:23" s="1" customFormat="1" ht="14.1" customHeight="1" x14ac:dyDescent="0.2">
      <c r="A89" s="21" t="s">
        <v>158</v>
      </c>
      <c r="B89" s="21"/>
      <c r="C89" s="21"/>
      <c r="D89" s="21"/>
      <c r="E89" s="21"/>
      <c r="F89" s="21"/>
      <c r="G89" s="21"/>
      <c r="H89" s="21"/>
      <c r="I89" s="22" t="s">
        <v>164</v>
      </c>
      <c r="J89" s="22"/>
      <c r="K89" s="22"/>
      <c r="L89" s="53" t="s">
        <v>160</v>
      </c>
      <c r="M89" s="53"/>
      <c r="N89" s="17">
        <f>6430000</f>
        <v>6430000</v>
      </c>
      <c r="O89" s="17"/>
      <c r="P89" s="17"/>
      <c r="Q89" s="17">
        <f>3956958.18</f>
        <v>3956958.18</v>
      </c>
      <c r="R89" s="17"/>
      <c r="S89" s="17"/>
      <c r="T89" s="17"/>
      <c r="U89" s="17"/>
      <c r="V89" s="54">
        <f>2473041.82</f>
        <v>2473041.8199999998</v>
      </c>
      <c r="W89" s="54"/>
    </row>
    <row r="90" spans="1:23" s="1" customFormat="1" ht="14.1" customHeight="1" x14ac:dyDescent="0.2">
      <c r="A90" s="21" t="s">
        <v>165</v>
      </c>
      <c r="B90" s="21"/>
      <c r="C90" s="21"/>
      <c r="D90" s="21"/>
      <c r="E90" s="21"/>
      <c r="F90" s="21"/>
      <c r="G90" s="21"/>
      <c r="H90" s="21"/>
      <c r="I90" s="22" t="s">
        <v>164</v>
      </c>
      <c r="J90" s="22"/>
      <c r="K90" s="22"/>
      <c r="L90" s="53" t="s">
        <v>166</v>
      </c>
      <c r="M90" s="53"/>
      <c r="N90" s="17">
        <f>24100</f>
        <v>24100</v>
      </c>
      <c r="O90" s="17"/>
      <c r="P90" s="17"/>
      <c r="Q90" s="17">
        <f>15726.12</f>
        <v>15726.12</v>
      </c>
      <c r="R90" s="17"/>
      <c r="S90" s="17"/>
      <c r="T90" s="17"/>
      <c r="U90" s="17"/>
      <c r="V90" s="54">
        <f>8373.88</f>
        <v>8373.8799999999992</v>
      </c>
      <c r="W90" s="54"/>
    </row>
    <row r="91" spans="1:23" s="1" customFormat="1" ht="14.1" customHeight="1" x14ac:dyDescent="0.2">
      <c r="A91" s="21" t="s">
        <v>161</v>
      </c>
      <c r="B91" s="21"/>
      <c r="C91" s="21"/>
      <c r="D91" s="21"/>
      <c r="E91" s="21"/>
      <c r="F91" s="21"/>
      <c r="G91" s="21"/>
      <c r="H91" s="21"/>
      <c r="I91" s="22" t="s">
        <v>167</v>
      </c>
      <c r="J91" s="22"/>
      <c r="K91" s="22"/>
      <c r="L91" s="53" t="s">
        <v>163</v>
      </c>
      <c r="M91" s="53"/>
      <c r="N91" s="17">
        <f>1914900</f>
        <v>1914900</v>
      </c>
      <c r="O91" s="17"/>
      <c r="P91" s="17"/>
      <c r="Q91" s="17">
        <f>1109999.14</f>
        <v>1109999.1399999999</v>
      </c>
      <c r="R91" s="17"/>
      <c r="S91" s="17"/>
      <c r="T91" s="17"/>
      <c r="U91" s="17"/>
      <c r="V91" s="54">
        <f>804900.86</f>
        <v>804900.86</v>
      </c>
      <c r="W91" s="54"/>
    </row>
    <row r="92" spans="1:23" s="1" customFormat="1" ht="14.1" customHeight="1" x14ac:dyDescent="0.2">
      <c r="A92" s="21" t="s">
        <v>168</v>
      </c>
      <c r="B92" s="21"/>
      <c r="C92" s="21"/>
      <c r="D92" s="21"/>
      <c r="E92" s="21"/>
      <c r="F92" s="21"/>
      <c r="G92" s="21"/>
      <c r="H92" s="21"/>
      <c r="I92" s="22" t="s">
        <v>169</v>
      </c>
      <c r="J92" s="22"/>
      <c r="K92" s="22"/>
      <c r="L92" s="53" t="s">
        <v>170</v>
      </c>
      <c r="M92" s="53"/>
      <c r="N92" s="17">
        <f>7600</f>
        <v>7600</v>
      </c>
      <c r="O92" s="17"/>
      <c r="P92" s="17"/>
      <c r="Q92" s="17">
        <f>7600</f>
        <v>7600</v>
      </c>
      <c r="R92" s="17"/>
      <c r="S92" s="17"/>
      <c r="T92" s="17"/>
      <c r="U92" s="17"/>
      <c r="V92" s="54">
        <f>0</f>
        <v>0</v>
      </c>
      <c r="W92" s="54"/>
    </row>
    <row r="93" spans="1:23" s="1" customFormat="1" ht="24" customHeight="1" x14ac:dyDescent="0.2">
      <c r="A93" s="21" t="s">
        <v>171</v>
      </c>
      <c r="B93" s="21"/>
      <c r="C93" s="21"/>
      <c r="D93" s="21"/>
      <c r="E93" s="21"/>
      <c r="F93" s="21"/>
      <c r="G93" s="21"/>
      <c r="H93" s="21"/>
      <c r="I93" s="22" t="s">
        <v>172</v>
      </c>
      <c r="J93" s="22"/>
      <c r="K93" s="22"/>
      <c r="L93" s="53" t="s">
        <v>173</v>
      </c>
      <c r="M93" s="53"/>
      <c r="N93" s="17">
        <f>273100</f>
        <v>273100</v>
      </c>
      <c r="O93" s="17"/>
      <c r="P93" s="17"/>
      <c r="Q93" s="17">
        <f>273100</f>
        <v>273100</v>
      </c>
      <c r="R93" s="17"/>
      <c r="S93" s="17"/>
      <c r="T93" s="17"/>
      <c r="U93" s="17"/>
      <c r="V93" s="54">
        <f>0</f>
        <v>0</v>
      </c>
      <c r="W93" s="54"/>
    </row>
    <row r="94" spans="1:23" s="1" customFormat="1" ht="24" customHeight="1" x14ac:dyDescent="0.2">
      <c r="A94" s="21" t="s">
        <v>171</v>
      </c>
      <c r="B94" s="21"/>
      <c r="C94" s="21"/>
      <c r="D94" s="21"/>
      <c r="E94" s="21"/>
      <c r="F94" s="21"/>
      <c r="G94" s="21"/>
      <c r="H94" s="21"/>
      <c r="I94" s="22" t="s">
        <v>174</v>
      </c>
      <c r="J94" s="22"/>
      <c r="K94" s="22"/>
      <c r="L94" s="53" t="s">
        <v>173</v>
      </c>
      <c r="M94" s="53"/>
      <c r="N94" s="17">
        <f>71500</f>
        <v>71500</v>
      </c>
      <c r="O94" s="17"/>
      <c r="P94" s="17"/>
      <c r="Q94" s="17">
        <f>71500</f>
        <v>71500</v>
      </c>
      <c r="R94" s="17"/>
      <c r="S94" s="17"/>
      <c r="T94" s="17"/>
      <c r="U94" s="17"/>
      <c r="V94" s="54">
        <f>0</f>
        <v>0</v>
      </c>
      <c r="W94" s="54"/>
    </row>
    <row r="95" spans="1:23" s="1" customFormat="1" ht="24" customHeight="1" x14ac:dyDescent="0.2">
      <c r="A95" s="21" t="s">
        <v>171</v>
      </c>
      <c r="B95" s="21"/>
      <c r="C95" s="21"/>
      <c r="D95" s="21"/>
      <c r="E95" s="21"/>
      <c r="F95" s="21"/>
      <c r="G95" s="21"/>
      <c r="H95" s="21"/>
      <c r="I95" s="22" t="s">
        <v>175</v>
      </c>
      <c r="J95" s="22"/>
      <c r="K95" s="22"/>
      <c r="L95" s="53" t="s">
        <v>173</v>
      </c>
      <c r="M95" s="53"/>
      <c r="N95" s="17">
        <f>162500</f>
        <v>162500</v>
      </c>
      <c r="O95" s="17"/>
      <c r="P95" s="17"/>
      <c r="Q95" s="17">
        <f>162500</f>
        <v>162500</v>
      </c>
      <c r="R95" s="17"/>
      <c r="S95" s="17"/>
      <c r="T95" s="17"/>
      <c r="U95" s="17"/>
      <c r="V95" s="54">
        <f>0</f>
        <v>0</v>
      </c>
      <c r="W95" s="54"/>
    </row>
    <row r="96" spans="1:23" s="1" customFormat="1" ht="14.1" customHeight="1" x14ac:dyDescent="0.2">
      <c r="A96" s="21" t="s">
        <v>176</v>
      </c>
      <c r="B96" s="21"/>
      <c r="C96" s="21"/>
      <c r="D96" s="21"/>
      <c r="E96" s="21"/>
      <c r="F96" s="21"/>
      <c r="G96" s="21"/>
      <c r="H96" s="21"/>
      <c r="I96" s="22" t="s">
        <v>177</v>
      </c>
      <c r="J96" s="22"/>
      <c r="K96" s="22"/>
      <c r="L96" s="53" t="s">
        <v>178</v>
      </c>
      <c r="M96" s="53"/>
      <c r="N96" s="17">
        <f>637300</f>
        <v>637300</v>
      </c>
      <c r="O96" s="17"/>
      <c r="P96" s="17"/>
      <c r="Q96" s="17">
        <f>637233.5</f>
        <v>637233.5</v>
      </c>
      <c r="R96" s="17"/>
      <c r="S96" s="17"/>
      <c r="T96" s="17"/>
      <c r="U96" s="17"/>
      <c r="V96" s="54">
        <f>66.5</f>
        <v>66.5</v>
      </c>
      <c r="W96" s="54"/>
    </row>
    <row r="97" spans="1:23" s="1" customFormat="1" ht="14.1" customHeight="1" x14ac:dyDescent="0.2">
      <c r="A97" s="21" t="s">
        <v>179</v>
      </c>
      <c r="B97" s="21"/>
      <c r="C97" s="21"/>
      <c r="D97" s="21"/>
      <c r="E97" s="21"/>
      <c r="F97" s="21"/>
      <c r="G97" s="21"/>
      <c r="H97" s="21"/>
      <c r="I97" s="22" t="s">
        <v>180</v>
      </c>
      <c r="J97" s="22"/>
      <c r="K97" s="22"/>
      <c r="L97" s="53" t="s">
        <v>181</v>
      </c>
      <c r="M97" s="53"/>
      <c r="N97" s="17">
        <f>50000</f>
        <v>50000</v>
      </c>
      <c r="O97" s="17"/>
      <c r="P97" s="17"/>
      <c r="Q97" s="25" t="s">
        <v>43</v>
      </c>
      <c r="R97" s="25"/>
      <c r="S97" s="25"/>
      <c r="T97" s="25"/>
      <c r="U97" s="25"/>
      <c r="V97" s="54">
        <f>50000</f>
        <v>50000</v>
      </c>
      <c r="W97" s="54"/>
    </row>
    <row r="98" spans="1:23" s="1" customFormat="1" ht="14.1" customHeight="1" x14ac:dyDescent="0.2">
      <c r="A98" s="21" t="s">
        <v>182</v>
      </c>
      <c r="B98" s="21"/>
      <c r="C98" s="21"/>
      <c r="D98" s="21"/>
      <c r="E98" s="21"/>
      <c r="F98" s="21"/>
      <c r="G98" s="21"/>
      <c r="H98" s="21"/>
      <c r="I98" s="22" t="s">
        <v>183</v>
      </c>
      <c r="J98" s="22"/>
      <c r="K98" s="22"/>
      <c r="L98" s="53" t="s">
        <v>184</v>
      </c>
      <c r="M98" s="53"/>
      <c r="N98" s="17">
        <f>63920</f>
        <v>63920</v>
      </c>
      <c r="O98" s="17"/>
      <c r="P98" s="17"/>
      <c r="Q98" s="17">
        <f>33241.09</f>
        <v>33241.089999999997</v>
      </c>
      <c r="R98" s="17"/>
      <c r="S98" s="17"/>
      <c r="T98" s="17"/>
      <c r="U98" s="17"/>
      <c r="V98" s="54">
        <f>30678.91</f>
        <v>30678.91</v>
      </c>
      <c r="W98" s="54"/>
    </row>
    <row r="99" spans="1:23" s="1" customFormat="1" ht="14.1" customHeight="1" x14ac:dyDescent="0.2">
      <c r="A99" s="21" t="s">
        <v>185</v>
      </c>
      <c r="B99" s="21"/>
      <c r="C99" s="21"/>
      <c r="D99" s="21"/>
      <c r="E99" s="21"/>
      <c r="F99" s="21"/>
      <c r="G99" s="21"/>
      <c r="H99" s="21"/>
      <c r="I99" s="22" t="s">
        <v>183</v>
      </c>
      <c r="J99" s="22"/>
      <c r="K99" s="22"/>
      <c r="L99" s="53" t="s">
        <v>186</v>
      </c>
      <c r="M99" s="53"/>
      <c r="N99" s="17">
        <f>8000</f>
        <v>8000</v>
      </c>
      <c r="O99" s="17"/>
      <c r="P99" s="17"/>
      <c r="Q99" s="25" t="s">
        <v>43</v>
      </c>
      <c r="R99" s="25"/>
      <c r="S99" s="25"/>
      <c r="T99" s="25"/>
      <c r="U99" s="25"/>
      <c r="V99" s="54">
        <f>8000</f>
        <v>8000</v>
      </c>
      <c r="W99" s="54"/>
    </row>
    <row r="100" spans="1:23" s="1" customFormat="1" ht="14.1" customHeight="1" x14ac:dyDescent="0.2">
      <c r="A100" s="21" t="s">
        <v>179</v>
      </c>
      <c r="B100" s="21"/>
      <c r="C100" s="21"/>
      <c r="D100" s="21"/>
      <c r="E100" s="21"/>
      <c r="F100" s="21"/>
      <c r="G100" s="21"/>
      <c r="H100" s="21"/>
      <c r="I100" s="22" t="s">
        <v>183</v>
      </c>
      <c r="J100" s="22"/>
      <c r="K100" s="22"/>
      <c r="L100" s="53" t="s">
        <v>181</v>
      </c>
      <c r="M100" s="53"/>
      <c r="N100" s="17">
        <f>418080</f>
        <v>418080</v>
      </c>
      <c r="O100" s="17"/>
      <c r="P100" s="17"/>
      <c r="Q100" s="17">
        <f>62909.41</f>
        <v>62909.41</v>
      </c>
      <c r="R100" s="17"/>
      <c r="S100" s="17"/>
      <c r="T100" s="17"/>
      <c r="U100" s="17"/>
      <c r="V100" s="54">
        <f>355170.59</f>
        <v>355170.59</v>
      </c>
      <c r="W100" s="54"/>
    </row>
    <row r="101" spans="1:23" s="1" customFormat="1" ht="14.1" customHeight="1" x14ac:dyDescent="0.2">
      <c r="A101" s="21" t="s">
        <v>187</v>
      </c>
      <c r="B101" s="21"/>
      <c r="C101" s="21"/>
      <c r="D101" s="21"/>
      <c r="E101" s="21"/>
      <c r="F101" s="21"/>
      <c r="G101" s="21"/>
      <c r="H101" s="21"/>
      <c r="I101" s="22" t="s">
        <v>183</v>
      </c>
      <c r="J101" s="22"/>
      <c r="K101" s="22"/>
      <c r="L101" s="53" t="s">
        <v>188</v>
      </c>
      <c r="M101" s="53"/>
      <c r="N101" s="17">
        <f>200000</f>
        <v>200000</v>
      </c>
      <c r="O101" s="17"/>
      <c r="P101" s="17"/>
      <c r="Q101" s="17">
        <f>34000</f>
        <v>34000</v>
      </c>
      <c r="R101" s="17"/>
      <c r="S101" s="17"/>
      <c r="T101" s="17"/>
      <c r="U101" s="17"/>
      <c r="V101" s="54">
        <f>166000</f>
        <v>166000</v>
      </c>
      <c r="W101" s="54"/>
    </row>
    <row r="102" spans="1:23" s="1" customFormat="1" ht="14.1" customHeight="1" x14ac:dyDescent="0.2">
      <c r="A102" s="21" t="s">
        <v>189</v>
      </c>
      <c r="B102" s="21"/>
      <c r="C102" s="21"/>
      <c r="D102" s="21"/>
      <c r="E102" s="21"/>
      <c r="F102" s="21"/>
      <c r="G102" s="21"/>
      <c r="H102" s="21"/>
      <c r="I102" s="22" t="s">
        <v>183</v>
      </c>
      <c r="J102" s="22"/>
      <c r="K102" s="22"/>
      <c r="L102" s="53" t="s">
        <v>190</v>
      </c>
      <c r="M102" s="53"/>
      <c r="N102" s="17">
        <f>250000</f>
        <v>250000</v>
      </c>
      <c r="O102" s="17"/>
      <c r="P102" s="17"/>
      <c r="Q102" s="25" t="s">
        <v>43</v>
      </c>
      <c r="R102" s="25"/>
      <c r="S102" s="25"/>
      <c r="T102" s="25"/>
      <c r="U102" s="25"/>
      <c r="V102" s="54">
        <f>250000</f>
        <v>250000</v>
      </c>
      <c r="W102" s="54"/>
    </row>
    <row r="103" spans="1:23" s="1" customFormat="1" ht="14.1" customHeight="1" x14ac:dyDescent="0.2">
      <c r="A103" s="21" t="s">
        <v>168</v>
      </c>
      <c r="B103" s="21"/>
      <c r="C103" s="21"/>
      <c r="D103" s="21"/>
      <c r="E103" s="21"/>
      <c r="F103" s="21"/>
      <c r="G103" s="21"/>
      <c r="H103" s="21"/>
      <c r="I103" s="22" t="s">
        <v>183</v>
      </c>
      <c r="J103" s="22"/>
      <c r="K103" s="22"/>
      <c r="L103" s="53" t="s">
        <v>170</v>
      </c>
      <c r="M103" s="53"/>
      <c r="N103" s="17">
        <f>60000</f>
        <v>60000</v>
      </c>
      <c r="O103" s="17"/>
      <c r="P103" s="17"/>
      <c r="Q103" s="17">
        <f>58148</f>
        <v>58148</v>
      </c>
      <c r="R103" s="17"/>
      <c r="S103" s="17"/>
      <c r="T103" s="17"/>
      <c r="U103" s="17"/>
      <c r="V103" s="54">
        <f>1852</f>
        <v>1852</v>
      </c>
      <c r="W103" s="54"/>
    </row>
    <row r="104" spans="1:23" s="1" customFormat="1" ht="14.1" customHeight="1" x14ac:dyDescent="0.2">
      <c r="A104" s="21" t="s">
        <v>168</v>
      </c>
      <c r="B104" s="21"/>
      <c r="C104" s="21"/>
      <c r="D104" s="21"/>
      <c r="E104" s="21"/>
      <c r="F104" s="21"/>
      <c r="G104" s="21"/>
      <c r="H104" s="21"/>
      <c r="I104" s="22" t="s">
        <v>191</v>
      </c>
      <c r="J104" s="22"/>
      <c r="K104" s="22"/>
      <c r="L104" s="53" t="s">
        <v>170</v>
      </c>
      <c r="M104" s="53"/>
      <c r="N104" s="17">
        <f>50000</f>
        <v>50000</v>
      </c>
      <c r="O104" s="17"/>
      <c r="P104" s="17"/>
      <c r="Q104" s="25" t="s">
        <v>43</v>
      </c>
      <c r="R104" s="25"/>
      <c r="S104" s="25"/>
      <c r="T104" s="25"/>
      <c r="U104" s="25"/>
      <c r="V104" s="54">
        <f>50000</f>
        <v>50000</v>
      </c>
      <c r="W104" s="54"/>
    </row>
    <row r="105" spans="1:23" s="1" customFormat="1" ht="14.1" customHeight="1" x14ac:dyDescent="0.2">
      <c r="A105" s="21" t="s">
        <v>182</v>
      </c>
      <c r="B105" s="21"/>
      <c r="C105" s="21"/>
      <c r="D105" s="21"/>
      <c r="E105" s="21"/>
      <c r="F105" s="21"/>
      <c r="G105" s="21"/>
      <c r="H105" s="21"/>
      <c r="I105" s="22" t="s">
        <v>192</v>
      </c>
      <c r="J105" s="22"/>
      <c r="K105" s="22"/>
      <c r="L105" s="53" t="s">
        <v>184</v>
      </c>
      <c r="M105" s="53"/>
      <c r="N105" s="17">
        <f>6100</f>
        <v>6100</v>
      </c>
      <c r="O105" s="17"/>
      <c r="P105" s="17"/>
      <c r="Q105" s="17">
        <f>5766</f>
        <v>5766</v>
      </c>
      <c r="R105" s="17"/>
      <c r="S105" s="17"/>
      <c r="T105" s="17"/>
      <c r="U105" s="17"/>
      <c r="V105" s="54">
        <f>334</f>
        <v>334</v>
      </c>
      <c r="W105" s="54"/>
    </row>
    <row r="106" spans="1:23" s="1" customFormat="1" ht="14.1" customHeight="1" x14ac:dyDescent="0.2">
      <c r="A106" s="21" t="s">
        <v>193</v>
      </c>
      <c r="B106" s="21"/>
      <c r="C106" s="21"/>
      <c r="D106" s="21"/>
      <c r="E106" s="21"/>
      <c r="F106" s="21"/>
      <c r="G106" s="21"/>
      <c r="H106" s="21"/>
      <c r="I106" s="22" t="s">
        <v>192</v>
      </c>
      <c r="J106" s="22"/>
      <c r="K106" s="22"/>
      <c r="L106" s="53" t="s">
        <v>194</v>
      </c>
      <c r="M106" s="53"/>
      <c r="N106" s="17">
        <f>22000</f>
        <v>22000</v>
      </c>
      <c r="O106" s="17"/>
      <c r="P106" s="17"/>
      <c r="Q106" s="17">
        <f>22000</f>
        <v>22000</v>
      </c>
      <c r="R106" s="17"/>
      <c r="S106" s="17"/>
      <c r="T106" s="17"/>
      <c r="U106" s="17"/>
      <c r="V106" s="54">
        <f>0</f>
        <v>0</v>
      </c>
      <c r="W106" s="54"/>
    </row>
    <row r="107" spans="1:23" s="1" customFormat="1" ht="14.1" customHeight="1" x14ac:dyDescent="0.2">
      <c r="A107" s="21" t="s">
        <v>195</v>
      </c>
      <c r="B107" s="21"/>
      <c r="C107" s="21"/>
      <c r="D107" s="21"/>
      <c r="E107" s="21"/>
      <c r="F107" s="21"/>
      <c r="G107" s="21"/>
      <c r="H107" s="21"/>
      <c r="I107" s="22" t="s">
        <v>192</v>
      </c>
      <c r="J107" s="22"/>
      <c r="K107" s="22"/>
      <c r="L107" s="53" t="s">
        <v>196</v>
      </c>
      <c r="M107" s="53"/>
      <c r="N107" s="17">
        <f>17000</f>
        <v>17000</v>
      </c>
      <c r="O107" s="17"/>
      <c r="P107" s="17"/>
      <c r="Q107" s="17">
        <f>11575.92</f>
        <v>11575.92</v>
      </c>
      <c r="R107" s="17"/>
      <c r="S107" s="17"/>
      <c r="T107" s="17"/>
      <c r="U107" s="17"/>
      <c r="V107" s="54">
        <f>5424.08</f>
        <v>5424.08</v>
      </c>
      <c r="W107" s="54"/>
    </row>
    <row r="108" spans="1:23" s="1" customFormat="1" ht="14.1" customHeight="1" x14ac:dyDescent="0.2">
      <c r="A108" s="21" t="s">
        <v>185</v>
      </c>
      <c r="B108" s="21"/>
      <c r="C108" s="21"/>
      <c r="D108" s="21"/>
      <c r="E108" s="21"/>
      <c r="F108" s="21"/>
      <c r="G108" s="21"/>
      <c r="H108" s="21"/>
      <c r="I108" s="22" t="s">
        <v>192</v>
      </c>
      <c r="J108" s="22"/>
      <c r="K108" s="22"/>
      <c r="L108" s="53" t="s">
        <v>186</v>
      </c>
      <c r="M108" s="53"/>
      <c r="N108" s="17">
        <f>110400</f>
        <v>110400</v>
      </c>
      <c r="O108" s="17"/>
      <c r="P108" s="17"/>
      <c r="Q108" s="17">
        <f>80900</f>
        <v>80900</v>
      </c>
      <c r="R108" s="17"/>
      <c r="S108" s="17"/>
      <c r="T108" s="17"/>
      <c r="U108" s="17"/>
      <c r="V108" s="54">
        <f>29500</f>
        <v>29500</v>
      </c>
      <c r="W108" s="54"/>
    </row>
    <row r="109" spans="1:23" s="1" customFormat="1" ht="14.1" customHeight="1" x14ac:dyDescent="0.2">
      <c r="A109" s="21" t="s">
        <v>179</v>
      </c>
      <c r="B109" s="21"/>
      <c r="C109" s="21"/>
      <c r="D109" s="21"/>
      <c r="E109" s="21"/>
      <c r="F109" s="21"/>
      <c r="G109" s="21"/>
      <c r="H109" s="21"/>
      <c r="I109" s="22" t="s">
        <v>192</v>
      </c>
      <c r="J109" s="22"/>
      <c r="K109" s="22"/>
      <c r="L109" s="53" t="s">
        <v>181</v>
      </c>
      <c r="M109" s="53"/>
      <c r="N109" s="17">
        <f>1105692.3</f>
        <v>1105692.3</v>
      </c>
      <c r="O109" s="17"/>
      <c r="P109" s="17"/>
      <c r="Q109" s="17">
        <f>550539.1</f>
        <v>550539.1</v>
      </c>
      <c r="R109" s="17"/>
      <c r="S109" s="17"/>
      <c r="T109" s="17"/>
      <c r="U109" s="17"/>
      <c r="V109" s="54">
        <f>555153.2</f>
        <v>555153.19999999995</v>
      </c>
      <c r="W109" s="54"/>
    </row>
    <row r="110" spans="1:23" s="1" customFormat="1" ht="14.1" customHeight="1" x14ac:dyDescent="0.2">
      <c r="A110" s="21" t="s">
        <v>187</v>
      </c>
      <c r="B110" s="21"/>
      <c r="C110" s="21"/>
      <c r="D110" s="21"/>
      <c r="E110" s="21"/>
      <c r="F110" s="21"/>
      <c r="G110" s="21"/>
      <c r="H110" s="21"/>
      <c r="I110" s="22" t="s">
        <v>192</v>
      </c>
      <c r="J110" s="22"/>
      <c r="K110" s="22"/>
      <c r="L110" s="53" t="s">
        <v>188</v>
      </c>
      <c r="M110" s="53"/>
      <c r="N110" s="17">
        <f>88800</f>
        <v>88800</v>
      </c>
      <c r="O110" s="17"/>
      <c r="P110" s="17"/>
      <c r="Q110" s="17">
        <f>6000</f>
        <v>6000</v>
      </c>
      <c r="R110" s="17"/>
      <c r="S110" s="17"/>
      <c r="T110" s="17"/>
      <c r="U110" s="17"/>
      <c r="V110" s="54">
        <f>82800</f>
        <v>82800</v>
      </c>
      <c r="W110" s="54"/>
    </row>
    <row r="111" spans="1:23" s="1" customFormat="1" ht="14.1" customHeight="1" x14ac:dyDescent="0.2">
      <c r="A111" s="21" t="s">
        <v>197</v>
      </c>
      <c r="B111" s="21"/>
      <c r="C111" s="21"/>
      <c r="D111" s="21"/>
      <c r="E111" s="21"/>
      <c r="F111" s="21"/>
      <c r="G111" s="21"/>
      <c r="H111" s="21"/>
      <c r="I111" s="22" t="s">
        <v>192</v>
      </c>
      <c r="J111" s="22"/>
      <c r="K111" s="22"/>
      <c r="L111" s="53" t="s">
        <v>198</v>
      </c>
      <c r="M111" s="53"/>
      <c r="N111" s="17">
        <f>450000</f>
        <v>450000</v>
      </c>
      <c r="O111" s="17"/>
      <c r="P111" s="17"/>
      <c r="Q111" s="17">
        <f>256315.07</f>
        <v>256315.07</v>
      </c>
      <c r="R111" s="17"/>
      <c r="S111" s="17"/>
      <c r="T111" s="17"/>
      <c r="U111" s="17"/>
      <c r="V111" s="54">
        <f>193684.93</f>
        <v>193684.93</v>
      </c>
      <c r="W111" s="54"/>
    </row>
    <row r="112" spans="1:23" s="1" customFormat="1" ht="14.1" customHeight="1" x14ac:dyDescent="0.2">
      <c r="A112" s="21" t="s">
        <v>168</v>
      </c>
      <c r="B112" s="21"/>
      <c r="C112" s="21"/>
      <c r="D112" s="21"/>
      <c r="E112" s="21"/>
      <c r="F112" s="21"/>
      <c r="G112" s="21"/>
      <c r="H112" s="21"/>
      <c r="I112" s="22" t="s">
        <v>192</v>
      </c>
      <c r="J112" s="22"/>
      <c r="K112" s="22"/>
      <c r="L112" s="53" t="s">
        <v>170</v>
      </c>
      <c r="M112" s="53"/>
      <c r="N112" s="17">
        <f>200000</f>
        <v>200000</v>
      </c>
      <c r="O112" s="17"/>
      <c r="P112" s="17"/>
      <c r="Q112" s="17">
        <f>159029</f>
        <v>159029</v>
      </c>
      <c r="R112" s="17"/>
      <c r="S112" s="17"/>
      <c r="T112" s="17"/>
      <c r="U112" s="17"/>
      <c r="V112" s="54">
        <f>40971</f>
        <v>40971</v>
      </c>
      <c r="W112" s="54"/>
    </row>
    <row r="113" spans="1:23" s="1" customFormat="1" ht="14.1" customHeight="1" x14ac:dyDescent="0.2">
      <c r="A113" s="21" t="s">
        <v>195</v>
      </c>
      <c r="B113" s="21"/>
      <c r="C113" s="21"/>
      <c r="D113" s="21"/>
      <c r="E113" s="21"/>
      <c r="F113" s="21"/>
      <c r="G113" s="21"/>
      <c r="H113" s="21"/>
      <c r="I113" s="22" t="s">
        <v>199</v>
      </c>
      <c r="J113" s="22"/>
      <c r="K113" s="22"/>
      <c r="L113" s="53" t="s">
        <v>196</v>
      </c>
      <c r="M113" s="53"/>
      <c r="N113" s="17">
        <f>300000</f>
        <v>300000</v>
      </c>
      <c r="O113" s="17"/>
      <c r="P113" s="17"/>
      <c r="Q113" s="17">
        <f>175212.16</f>
        <v>175212.16</v>
      </c>
      <c r="R113" s="17"/>
      <c r="S113" s="17"/>
      <c r="T113" s="17"/>
      <c r="U113" s="17"/>
      <c r="V113" s="54">
        <f>124787.84</f>
        <v>124787.84</v>
      </c>
      <c r="W113" s="54"/>
    </row>
    <row r="114" spans="1:23" s="1" customFormat="1" ht="14.1" customHeight="1" x14ac:dyDescent="0.2">
      <c r="A114" s="21" t="s">
        <v>200</v>
      </c>
      <c r="B114" s="21"/>
      <c r="C114" s="21"/>
      <c r="D114" s="21"/>
      <c r="E114" s="21"/>
      <c r="F114" s="21"/>
      <c r="G114" s="21"/>
      <c r="H114" s="21"/>
      <c r="I114" s="22" t="s">
        <v>201</v>
      </c>
      <c r="J114" s="22"/>
      <c r="K114" s="22"/>
      <c r="L114" s="53" t="s">
        <v>202</v>
      </c>
      <c r="M114" s="53"/>
      <c r="N114" s="17">
        <f>340000</f>
        <v>340000</v>
      </c>
      <c r="O114" s="17"/>
      <c r="P114" s="17"/>
      <c r="Q114" s="17">
        <f>70000</f>
        <v>70000</v>
      </c>
      <c r="R114" s="17"/>
      <c r="S114" s="17"/>
      <c r="T114" s="17"/>
      <c r="U114" s="17"/>
      <c r="V114" s="54">
        <f>270000</f>
        <v>270000</v>
      </c>
      <c r="W114" s="54"/>
    </row>
    <row r="115" spans="1:23" s="1" customFormat="1" ht="14.1" customHeight="1" x14ac:dyDescent="0.2">
      <c r="A115" s="21" t="s">
        <v>200</v>
      </c>
      <c r="B115" s="21"/>
      <c r="C115" s="21"/>
      <c r="D115" s="21"/>
      <c r="E115" s="21"/>
      <c r="F115" s="21"/>
      <c r="G115" s="21"/>
      <c r="H115" s="21"/>
      <c r="I115" s="22" t="s">
        <v>203</v>
      </c>
      <c r="J115" s="22"/>
      <c r="K115" s="22"/>
      <c r="L115" s="53" t="s">
        <v>202</v>
      </c>
      <c r="M115" s="53"/>
      <c r="N115" s="17">
        <f>33000</f>
        <v>33000</v>
      </c>
      <c r="O115" s="17"/>
      <c r="P115" s="17"/>
      <c r="Q115" s="17">
        <f>19551.58</f>
        <v>19551.580000000002</v>
      </c>
      <c r="R115" s="17"/>
      <c r="S115" s="17"/>
      <c r="T115" s="17"/>
      <c r="U115" s="17"/>
      <c r="V115" s="54">
        <f>13448.42</f>
        <v>13448.42</v>
      </c>
      <c r="W115" s="54"/>
    </row>
    <row r="116" spans="1:23" s="1" customFormat="1" ht="24" customHeight="1" x14ac:dyDescent="0.2">
      <c r="A116" s="21" t="s">
        <v>204</v>
      </c>
      <c r="B116" s="21"/>
      <c r="C116" s="21"/>
      <c r="D116" s="21"/>
      <c r="E116" s="21"/>
      <c r="F116" s="21"/>
      <c r="G116" s="21"/>
      <c r="H116" s="21"/>
      <c r="I116" s="22" t="s">
        <v>205</v>
      </c>
      <c r="J116" s="22"/>
      <c r="K116" s="22"/>
      <c r="L116" s="53" t="s">
        <v>206</v>
      </c>
      <c r="M116" s="53"/>
      <c r="N116" s="17">
        <f>12000</f>
        <v>12000</v>
      </c>
      <c r="O116" s="17"/>
      <c r="P116" s="17"/>
      <c r="Q116" s="17">
        <f>2836.78</f>
        <v>2836.78</v>
      </c>
      <c r="R116" s="17"/>
      <c r="S116" s="17"/>
      <c r="T116" s="17"/>
      <c r="U116" s="17"/>
      <c r="V116" s="54">
        <f>9163.22</f>
        <v>9163.2199999999993</v>
      </c>
      <c r="W116" s="54"/>
    </row>
    <row r="117" spans="1:23" s="1" customFormat="1" ht="24" customHeight="1" x14ac:dyDescent="0.2">
      <c r="A117" s="21" t="s">
        <v>207</v>
      </c>
      <c r="B117" s="21"/>
      <c r="C117" s="21"/>
      <c r="D117" s="21"/>
      <c r="E117" s="21"/>
      <c r="F117" s="21"/>
      <c r="G117" s="21"/>
      <c r="H117" s="21"/>
      <c r="I117" s="22" t="s">
        <v>205</v>
      </c>
      <c r="J117" s="22"/>
      <c r="K117" s="22"/>
      <c r="L117" s="53" t="s">
        <v>208</v>
      </c>
      <c r="M117" s="53"/>
      <c r="N117" s="17">
        <f>50250</f>
        <v>50250</v>
      </c>
      <c r="O117" s="17"/>
      <c r="P117" s="17"/>
      <c r="Q117" s="17">
        <f>50250</f>
        <v>50250</v>
      </c>
      <c r="R117" s="17"/>
      <c r="S117" s="17"/>
      <c r="T117" s="17"/>
      <c r="U117" s="17"/>
      <c r="V117" s="54">
        <f>0</f>
        <v>0</v>
      </c>
      <c r="W117" s="54"/>
    </row>
    <row r="118" spans="1:23" s="1" customFormat="1" ht="14.1" customHeight="1" x14ac:dyDescent="0.2">
      <c r="A118" s="21" t="s">
        <v>176</v>
      </c>
      <c r="B118" s="21"/>
      <c r="C118" s="21"/>
      <c r="D118" s="21"/>
      <c r="E118" s="21"/>
      <c r="F118" s="21"/>
      <c r="G118" s="21"/>
      <c r="H118" s="21"/>
      <c r="I118" s="22" t="s">
        <v>205</v>
      </c>
      <c r="J118" s="22"/>
      <c r="K118" s="22"/>
      <c r="L118" s="53" t="s">
        <v>178</v>
      </c>
      <c r="M118" s="53"/>
      <c r="N118" s="17">
        <f>14750</f>
        <v>14750</v>
      </c>
      <c r="O118" s="17"/>
      <c r="P118" s="17"/>
      <c r="Q118" s="17">
        <f>14602.8</f>
        <v>14602.8</v>
      </c>
      <c r="R118" s="17"/>
      <c r="S118" s="17"/>
      <c r="T118" s="17"/>
      <c r="U118" s="17"/>
      <c r="V118" s="54">
        <f>147.2</f>
        <v>147.19999999999999</v>
      </c>
      <c r="W118" s="54"/>
    </row>
    <row r="119" spans="1:23" s="1" customFormat="1" ht="14.1" customHeight="1" x14ac:dyDescent="0.2">
      <c r="A119" s="21" t="s">
        <v>179</v>
      </c>
      <c r="B119" s="21"/>
      <c r="C119" s="21"/>
      <c r="D119" s="21"/>
      <c r="E119" s="21"/>
      <c r="F119" s="21"/>
      <c r="G119" s="21"/>
      <c r="H119" s="21"/>
      <c r="I119" s="22" t="s">
        <v>209</v>
      </c>
      <c r="J119" s="22"/>
      <c r="K119" s="22"/>
      <c r="L119" s="53" t="s">
        <v>181</v>
      </c>
      <c r="M119" s="53"/>
      <c r="N119" s="17">
        <f>220000</f>
        <v>220000</v>
      </c>
      <c r="O119" s="17"/>
      <c r="P119" s="17"/>
      <c r="Q119" s="17">
        <f>103443.35</f>
        <v>103443.35</v>
      </c>
      <c r="R119" s="17"/>
      <c r="S119" s="17"/>
      <c r="T119" s="17"/>
      <c r="U119" s="17"/>
      <c r="V119" s="54">
        <f>116556.65</f>
        <v>116556.65</v>
      </c>
      <c r="W119" s="54"/>
    </row>
    <row r="120" spans="1:23" s="1" customFormat="1" ht="14.1" customHeight="1" x14ac:dyDescent="0.2">
      <c r="A120" s="21" t="s">
        <v>168</v>
      </c>
      <c r="B120" s="21"/>
      <c r="C120" s="21"/>
      <c r="D120" s="21"/>
      <c r="E120" s="21"/>
      <c r="F120" s="21"/>
      <c r="G120" s="21"/>
      <c r="H120" s="21"/>
      <c r="I120" s="22" t="s">
        <v>210</v>
      </c>
      <c r="J120" s="22"/>
      <c r="K120" s="22"/>
      <c r="L120" s="53" t="s">
        <v>170</v>
      </c>
      <c r="M120" s="53"/>
      <c r="N120" s="17">
        <f>50000</f>
        <v>50000</v>
      </c>
      <c r="O120" s="17"/>
      <c r="P120" s="17"/>
      <c r="Q120" s="25" t="s">
        <v>43</v>
      </c>
      <c r="R120" s="25"/>
      <c r="S120" s="25"/>
      <c r="T120" s="25"/>
      <c r="U120" s="25"/>
      <c r="V120" s="54">
        <f>50000</f>
        <v>50000</v>
      </c>
      <c r="W120" s="54"/>
    </row>
    <row r="121" spans="1:23" s="1" customFormat="1" ht="24" customHeight="1" x14ac:dyDescent="0.2">
      <c r="A121" s="21" t="s">
        <v>211</v>
      </c>
      <c r="B121" s="21"/>
      <c r="C121" s="21"/>
      <c r="D121" s="21"/>
      <c r="E121" s="21"/>
      <c r="F121" s="21"/>
      <c r="G121" s="21"/>
      <c r="H121" s="21"/>
      <c r="I121" s="22" t="s">
        <v>212</v>
      </c>
      <c r="J121" s="22"/>
      <c r="K121" s="22"/>
      <c r="L121" s="53" t="s">
        <v>213</v>
      </c>
      <c r="M121" s="53"/>
      <c r="N121" s="17">
        <f>250000</f>
        <v>250000</v>
      </c>
      <c r="O121" s="17"/>
      <c r="P121" s="17"/>
      <c r="Q121" s="17">
        <f>190000</f>
        <v>190000</v>
      </c>
      <c r="R121" s="17"/>
      <c r="S121" s="17"/>
      <c r="T121" s="17"/>
      <c r="U121" s="17"/>
      <c r="V121" s="54">
        <f>60000</f>
        <v>60000</v>
      </c>
      <c r="W121" s="54"/>
    </row>
    <row r="122" spans="1:23" s="1" customFormat="1" ht="14.1" customHeight="1" x14ac:dyDescent="0.2">
      <c r="A122" s="21" t="s">
        <v>179</v>
      </c>
      <c r="B122" s="21"/>
      <c r="C122" s="21"/>
      <c r="D122" s="21"/>
      <c r="E122" s="21"/>
      <c r="F122" s="21"/>
      <c r="G122" s="21"/>
      <c r="H122" s="21"/>
      <c r="I122" s="22" t="s">
        <v>214</v>
      </c>
      <c r="J122" s="22"/>
      <c r="K122" s="22"/>
      <c r="L122" s="53" t="s">
        <v>181</v>
      </c>
      <c r="M122" s="53"/>
      <c r="N122" s="17">
        <f>150000</f>
        <v>150000</v>
      </c>
      <c r="O122" s="17"/>
      <c r="P122" s="17"/>
      <c r="Q122" s="17">
        <f>48321</f>
        <v>48321</v>
      </c>
      <c r="R122" s="17"/>
      <c r="S122" s="17"/>
      <c r="T122" s="17"/>
      <c r="U122" s="17"/>
      <c r="V122" s="54">
        <f>101679</f>
        <v>101679</v>
      </c>
      <c r="W122" s="54"/>
    </row>
    <row r="123" spans="1:23" s="1" customFormat="1" ht="14.1" customHeight="1" x14ac:dyDescent="0.2">
      <c r="A123" s="21" t="s">
        <v>158</v>
      </c>
      <c r="B123" s="21"/>
      <c r="C123" s="21"/>
      <c r="D123" s="21"/>
      <c r="E123" s="21"/>
      <c r="F123" s="21"/>
      <c r="G123" s="21"/>
      <c r="H123" s="21"/>
      <c r="I123" s="22" t="s">
        <v>215</v>
      </c>
      <c r="J123" s="22"/>
      <c r="K123" s="22"/>
      <c r="L123" s="53" t="s">
        <v>160</v>
      </c>
      <c r="M123" s="53"/>
      <c r="N123" s="17">
        <f>398200</f>
        <v>398200</v>
      </c>
      <c r="O123" s="17"/>
      <c r="P123" s="17"/>
      <c r="Q123" s="17">
        <f>262375.67</f>
        <v>262375.67</v>
      </c>
      <c r="R123" s="17"/>
      <c r="S123" s="17"/>
      <c r="T123" s="17"/>
      <c r="U123" s="17"/>
      <c r="V123" s="54">
        <f>135824.33</f>
        <v>135824.32999999999</v>
      </c>
      <c r="W123" s="54"/>
    </row>
    <row r="124" spans="1:23" s="1" customFormat="1" ht="14.1" customHeight="1" x14ac:dyDescent="0.2">
      <c r="A124" s="21" t="s">
        <v>165</v>
      </c>
      <c r="B124" s="21"/>
      <c r="C124" s="21"/>
      <c r="D124" s="21"/>
      <c r="E124" s="21"/>
      <c r="F124" s="21"/>
      <c r="G124" s="21"/>
      <c r="H124" s="21"/>
      <c r="I124" s="22" t="s">
        <v>215</v>
      </c>
      <c r="J124" s="22"/>
      <c r="K124" s="22"/>
      <c r="L124" s="53" t="s">
        <v>166</v>
      </c>
      <c r="M124" s="53"/>
      <c r="N124" s="17">
        <f>3000</f>
        <v>3000</v>
      </c>
      <c r="O124" s="17"/>
      <c r="P124" s="17"/>
      <c r="Q124" s="17">
        <f>1506.96</f>
        <v>1506.96</v>
      </c>
      <c r="R124" s="17"/>
      <c r="S124" s="17"/>
      <c r="T124" s="17"/>
      <c r="U124" s="17"/>
      <c r="V124" s="54">
        <f>1493.04</f>
        <v>1493.04</v>
      </c>
      <c r="W124" s="54"/>
    </row>
    <row r="125" spans="1:23" s="1" customFormat="1" ht="14.1" customHeight="1" x14ac:dyDescent="0.2">
      <c r="A125" s="21" t="s">
        <v>161</v>
      </c>
      <c r="B125" s="21"/>
      <c r="C125" s="21"/>
      <c r="D125" s="21"/>
      <c r="E125" s="21"/>
      <c r="F125" s="21"/>
      <c r="G125" s="21"/>
      <c r="H125" s="21"/>
      <c r="I125" s="22" t="s">
        <v>216</v>
      </c>
      <c r="J125" s="22"/>
      <c r="K125" s="22"/>
      <c r="L125" s="53" t="s">
        <v>163</v>
      </c>
      <c r="M125" s="53"/>
      <c r="N125" s="17">
        <f>118600</f>
        <v>118600</v>
      </c>
      <c r="O125" s="17"/>
      <c r="P125" s="17"/>
      <c r="Q125" s="17">
        <f>72280.07</f>
        <v>72280.070000000007</v>
      </c>
      <c r="R125" s="17"/>
      <c r="S125" s="17"/>
      <c r="T125" s="17"/>
      <c r="U125" s="17"/>
      <c r="V125" s="54">
        <f>46319.93</f>
        <v>46319.93</v>
      </c>
      <c r="W125" s="54"/>
    </row>
    <row r="126" spans="1:23" s="1" customFormat="1" ht="14.1" customHeight="1" x14ac:dyDescent="0.2">
      <c r="A126" s="21" t="s">
        <v>193</v>
      </c>
      <c r="B126" s="21"/>
      <c r="C126" s="21"/>
      <c r="D126" s="21"/>
      <c r="E126" s="21"/>
      <c r="F126" s="21"/>
      <c r="G126" s="21"/>
      <c r="H126" s="21"/>
      <c r="I126" s="22" t="s">
        <v>217</v>
      </c>
      <c r="J126" s="22"/>
      <c r="K126" s="22"/>
      <c r="L126" s="53" t="s">
        <v>194</v>
      </c>
      <c r="M126" s="53"/>
      <c r="N126" s="17">
        <f>17000</f>
        <v>17000</v>
      </c>
      <c r="O126" s="17"/>
      <c r="P126" s="17"/>
      <c r="Q126" s="25" t="s">
        <v>43</v>
      </c>
      <c r="R126" s="25"/>
      <c r="S126" s="25"/>
      <c r="T126" s="25"/>
      <c r="U126" s="25"/>
      <c r="V126" s="54">
        <f>17000</f>
        <v>17000</v>
      </c>
      <c r="W126" s="54"/>
    </row>
    <row r="127" spans="1:23" s="1" customFormat="1" ht="14.1" customHeight="1" x14ac:dyDescent="0.2">
      <c r="A127" s="21" t="s">
        <v>185</v>
      </c>
      <c r="B127" s="21"/>
      <c r="C127" s="21"/>
      <c r="D127" s="21"/>
      <c r="E127" s="21"/>
      <c r="F127" s="21"/>
      <c r="G127" s="21"/>
      <c r="H127" s="21"/>
      <c r="I127" s="22" t="s">
        <v>217</v>
      </c>
      <c r="J127" s="22"/>
      <c r="K127" s="22"/>
      <c r="L127" s="53" t="s">
        <v>186</v>
      </c>
      <c r="M127" s="53"/>
      <c r="N127" s="17">
        <f>49800</f>
        <v>49800</v>
      </c>
      <c r="O127" s="17"/>
      <c r="P127" s="17"/>
      <c r="Q127" s="17">
        <f>16380</f>
        <v>16380</v>
      </c>
      <c r="R127" s="17"/>
      <c r="S127" s="17"/>
      <c r="T127" s="17"/>
      <c r="U127" s="17"/>
      <c r="V127" s="54">
        <f>33420</f>
        <v>33420</v>
      </c>
      <c r="W127" s="54"/>
    </row>
    <row r="128" spans="1:23" s="1" customFormat="1" ht="14.1" customHeight="1" x14ac:dyDescent="0.2">
      <c r="A128" s="21" t="s">
        <v>179</v>
      </c>
      <c r="B128" s="21"/>
      <c r="C128" s="21"/>
      <c r="D128" s="21"/>
      <c r="E128" s="21"/>
      <c r="F128" s="21"/>
      <c r="G128" s="21"/>
      <c r="H128" s="21"/>
      <c r="I128" s="22" t="s">
        <v>217</v>
      </c>
      <c r="J128" s="22"/>
      <c r="K128" s="22"/>
      <c r="L128" s="53" t="s">
        <v>181</v>
      </c>
      <c r="M128" s="53"/>
      <c r="N128" s="17">
        <f>6000</f>
        <v>6000</v>
      </c>
      <c r="O128" s="17"/>
      <c r="P128" s="17"/>
      <c r="Q128" s="25" t="s">
        <v>43</v>
      </c>
      <c r="R128" s="25"/>
      <c r="S128" s="25"/>
      <c r="T128" s="25"/>
      <c r="U128" s="25"/>
      <c r="V128" s="54">
        <f>6000</f>
        <v>6000</v>
      </c>
      <c r="W128" s="54"/>
    </row>
    <row r="129" spans="1:23" s="1" customFormat="1" ht="14.1" customHeight="1" x14ac:dyDescent="0.2">
      <c r="A129" s="21" t="s">
        <v>187</v>
      </c>
      <c r="B129" s="21"/>
      <c r="C129" s="21"/>
      <c r="D129" s="21"/>
      <c r="E129" s="21"/>
      <c r="F129" s="21"/>
      <c r="G129" s="21"/>
      <c r="H129" s="21"/>
      <c r="I129" s="22" t="s">
        <v>217</v>
      </c>
      <c r="J129" s="22"/>
      <c r="K129" s="22"/>
      <c r="L129" s="53" t="s">
        <v>188</v>
      </c>
      <c r="M129" s="53"/>
      <c r="N129" s="17">
        <f>3730</f>
        <v>3730</v>
      </c>
      <c r="O129" s="17"/>
      <c r="P129" s="17"/>
      <c r="Q129" s="25" t="s">
        <v>43</v>
      </c>
      <c r="R129" s="25"/>
      <c r="S129" s="25"/>
      <c r="T129" s="25"/>
      <c r="U129" s="25"/>
      <c r="V129" s="54">
        <f>3730</f>
        <v>3730</v>
      </c>
      <c r="W129" s="54"/>
    </row>
    <row r="130" spans="1:23" s="1" customFormat="1" ht="14.1" customHeight="1" x14ac:dyDescent="0.2">
      <c r="A130" s="21" t="s">
        <v>168</v>
      </c>
      <c r="B130" s="21"/>
      <c r="C130" s="21"/>
      <c r="D130" s="21"/>
      <c r="E130" s="21"/>
      <c r="F130" s="21"/>
      <c r="G130" s="21"/>
      <c r="H130" s="21"/>
      <c r="I130" s="22" t="s">
        <v>217</v>
      </c>
      <c r="J130" s="22"/>
      <c r="K130" s="22"/>
      <c r="L130" s="53" t="s">
        <v>170</v>
      </c>
      <c r="M130" s="53"/>
      <c r="N130" s="17">
        <f>1270</f>
        <v>1270</v>
      </c>
      <c r="O130" s="17"/>
      <c r="P130" s="17"/>
      <c r="Q130" s="17">
        <f>1270</f>
        <v>1270</v>
      </c>
      <c r="R130" s="17"/>
      <c r="S130" s="17"/>
      <c r="T130" s="17"/>
      <c r="U130" s="17"/>
      <c r="V130" s="54">
        <f>0</f>
        <v>0</v>
      </c>
      <c r="W130" s="54"/>
    </row>
    <row r="131" spans="1:23" s="1" customFormat="1" ht="24" customHeight="1" x14ac:dyDescent="0.2">
      <c r="A131" s="21" t="s">
        <v>171</v>
      </c>
      <c r="B131" s="21"/>
      <c r="C131" s="21"/>
      <c r="D131" s="21"/>
      <c r="E131" s="21"/>
      <c r="F131" s="21"/>
      <c r="G131" s="21"/>
      <c r="H131" s="21"/>
      <c r="I131" s="22" t="s">
        <v>218</v>
      </c>
      <c r="J131" s="22"/>
      <c r="K131" s="22"/>
      <c r="L131" s="53" t="s">
        <v>173</v>
      </c>
      <c r="M131" s="53"/>
      <c r="N131" s="17">
        <f>1645300</f>
        <v>1645300</v>
      </c>
      <c r="O131" s="17"/>
      <c r="P131" s="17"/>
      <c r="Q131" s="17">
        <f>1645300</f>
        <v>1645300</v>
      </c>
      <c r="R131" s="17"/>
      <c r="S131" s="17"/>
      <c r="T131" s="17"/>
      <c r="U131" s="17"/>
      <c r="V131" s="54">
        <f>0</f>
        <v>0</v>
      </c>
      <c r="W131" s="54"/>
    </row>
    <row r="132" spans="1:23" s="1" customFormat="1" ht="14.1" customHeight="1" x14ac:dyDescent="0.2">
      <c r="A132" s="21" t="s">
        <v>179</v>
      </c>
      <c r="B132" s="21"/>
      <c r="C132" s="21"/>
      <c r="D132" s="21"/>
      <c r="E132" s="21"/>
      <c r="F132" s="21"/>
      <c r="G132" s="21"/>
      <c r="H132" s="21"/>
      <c r="I132" s="22" t="s">
        <v>219</v>
      </c>
      <c r="J132" s="22"/>
      <c r="K132" s="22"/>
      <c r="L132" s="53" t="s">
        <v>181</v>
      </c>
      <c r="M132" s="53"/>
      <c r="N132" s="17">
        <f>50000</f>
        <v>50000</v>
      </c>
      <c r="O132" s="17"/>
      <c r="P132" s="17"/>
      <c r="Q132" s="17">
        <f>20000</f>
        <v>20000</v>
      </c>
      <c r="R132" s="17"/>
      <c r="S132" s="17"/>
      <c r="T132" s="17"/>
      <c r="U132" s="17"/>
      <c r="V132" s="54">
        <f>30000</f>
        <v>30000</v>
      </c>
      <c r="W132" s="54"/>
    </row>
    <row r="133" spans="1:23" s="1" customFormat="1" ht="14.1" customHeight="1" x14ac:dyDescent="0.2">
      <c r="A133" s="21" t="s">
        <v>179</v>
      </c>
      <c r="B133" s="21"/>
      <c r="C133" s="21"/>
      <c r="D133" s="21"/>
      <c r="E133" s="21"/>
      <c r="F133" s="21"/>
      <c r="G133" s="21"/>
      <c r="H133" s="21"/>
      <c r="I133" s="22" t="s">
        <v>220</v>
      </c>
      <c r="J133" s="22"/>
      <c r="K133" s="22"/>
      <c r="L133" s="53" t="s">
        <v>181</v>
      </c>
      <c r="M133" s="53"/>
      <c r="N133" s="17">
        <f>95000</f>
        <v>95000</v>
      </c>
      <c r="O133" s="17"/>
      <c r="P133" s="17"/>
      <c r="Q133" s="17">
        <f>52619.4</f>
        <v>52619.4</v>
      </c>
      <c r="R133" s="17"/>
      <c r="S133" s="17"/>
      <c r="T133" s="17"/>
      <c r="U133" s="17"/>
      <c r="V133" s="54">
        <f>42380.6</f>
        <v>42380.6</v>
      </c>
      <c r="W133" s="54"/>
    </row>
    <row r="134" spans="1:23" s="1" customFormat="1" ht="14.1" customHeight="1" x14ac:dyDescent="0.2">
      <c r="A134" s="21" t="s">
        <v>197</v>
      </c>
      <c r="B134" s="21"/>
      <c r="C134" s="21"/>
      <c r="D134" s="21"/>
      <c r="E134" s="21"/>
      <c r="F134" s="21"/>
      <c r="G134" s="21"/>
      <c r="H134" s="21"/>
      <c r="I134" s="22" t="s">
        <v>220</v>
      </c>
      <c r="J134" s="22"/>
      <c r="K134" s="22"/>
      <c r="L134" s="53" t="s">
        <v>198</v>
      </c>
      <c r="M134" s="53"/>
      <c r="N134" s="17">
        <f>80000</f>
        <v>80000</v>
      </c>
      <c r="O134" s="17"/>
      <c r="P134" s="17"/>
      <c r="Q134" s="17">
        <f>36234</f>
        <v>36234</v>
      </c>
      <c r="R134" s="17"/>
      <c r="S134" s="17"/>
      <c r="T134" s="17"/>
      <c r="U134" s="17"/>
      <c r="V134" s="54">
        <f>43766</f>
        <v>43766</v>
      </c>
      <c r="W134" s="54"/>
    </row>
    <row r="135" spans="1:23" s="1" customFormat="1" ht="14.1" customHeight="1" x14ac:dyDescent="0.2">
      <c r="A135" s="21" t="s">
        <v>168</v>
      </c>
      <c r="B135" s="21"/>
      <c r="C135" s="21"/>
      <c r="D135" s="21"/>
      <c r="E135" s="21"/>
      <c r="F135" s="21"/>
      <c r="G135" s="21"/>
      <c r="H135" s="21"/>
      <c r="I135" s="22" t="s">
        <v>220</v>
      </c>
      <c r="J135" s="22"/>
      <c r="K135" s="22"/>
      <c r="L135" s="53" t="s">
        <v>170</v>
      </c>
      <c r="M135" s="53"/>
      <c r="N135" s="17">
        <f>25000</f>
        <v>25000</v>
      </c>
      <c r="O135" s="17"/>
      <c r="P135" s="17"/>
      <c r="Q135" s="25" t="s">
        <v>43</v>
      </c>
      <c r="R135" s="25"/>
      <c r="S135" s="25"/>
      <c r="T135" s="25"/>
      <c r="U135" s="25"/>
      <c r="V135" s="54">
        <f>25000</f>
        <v>25000</v>
      </c>
      <c r="W135" s="54"/>
    </row>
    <row r="136" spans="1:23" s="1" customFormat="1" ht="14.1" customHeight="1" x14ac:dyDescent="0.2">
      <c r="A136" s="21" t="s">
        <v>179</v>
      </c>
      <c r="B136" s="21"/>
      <c r="C136" s="21"/>
      <c r="D136" s="21"/>
      <c r="E136" s="21"/>
      <c r="F136" s="21"/>
      <c r="G136" s="21"/>
      <c r="H136" s="21"/>
      <c r="I136" s="22" t="s">
        <v>221</v>
      </c>
      <c r="J136" s="22"/>
      <c r="K136" s="22"/>
      <c r="L136" s="53" t="s">
        <v>181</v>
      </c>
      <c r="M136" s="53"/>
      <c r="N136" s="17">
        <f>5000</f>
        <v>5000</v>
      </c>
      <c r="O136" s="17"/>
      <c r="P136" s="17"/>
      <c r="Q136" s="25" t="s">
        <v>43</v>
      </c>
      <c r="R136" s="25"/>
      <c r="S136" s="25"/>
      <c r="T136" s="25"/>
      <c r="U136" s="25"/>
      <c r="V136" s="54">
        <f>5000</f>
        <v>5000</v>
      </c>
      <c r="W136" s="54"/>
    </row>
    <row r="137" spans="1:23" s="1" customFormat="1" ht="14.1" customHeight="1" x14ac:dyDescent="0.2">
      <c r="A137" s="21" t="s">
        <v>179</v>
      </c>
      <c r="B137" s="21"/>
      <c r="C137" s="21"/>
      <c r="D137" s="21"/>
      <c r="E137" s="21"/>
      <c r="F137" s="21"/>
      <c r="G137" s="21"/>
      <c r="H137" s="21"/>
      <c r="I137" s="22" t="s">
        <v>222</v>
      </c>
      <c r="J137" s="22"/>
      <c r="K137" s="22"/>
      <c r="L137" s="53" t="s">
        <v>181</v>
      </c>
      <c r="M137" s="53"/>
      <c r="N137" s="17">
        <f>200000</f>
        <v>200000</v>
      </c>
      <c r="O137" s="17"/>
      <c r="P137" s="17"/>
      <c r="Q137" s="17">
        <f>72390</f>
        <v>72390</v>
      </c>
      <c r="R137" s="17"/>
      <c r="S137" s="17"/>
      <c r="T137" s="17"/>
      <c r="U137" s="17"/>
      <c r="V137" s="54">
        <f>127610</f>
        <v>127610</v>
      </c>
      <c r="W137" s="54"/>
    </row>
    <row r="138" spans="1:23" s="1" customFormat="1" ht="14.1" customHeight="1" x14ac:dyDescent="0.2">
      <c r="A138" s="21" t="s">
        <v>168</v>
      </c>
      <c r="B138" s="21"/>
      <c r="C138" s="21"/>
      <c r="D138" s="21"/>
      <c r="E138" s="21"/>
      <c r="F138" s="21"/>
      <c r="G138" s="21"/>
      <c r="H138" s="21"/>
      <c r="I138" s="22" t="s">
        <v>222</v>
      </c>
      <c r="J138" s="22"/>
      <c r="K138" s="22"/>
      <c r="L138" s="53" t="s">
        <v>170</v>
      </c>
      <c r="M138" s="53"/>
      <c r="N138" s="17">
        <f>100000</f>
        <v>100000</v>
      </c>
      <c r="O138" s="17"/>
      <c r="P138" s="17"/>
      <c r="Q138" s="25" t="s">
        <v>43</v>
      </c>
      <c r="R138" s="25"/>
      <c r="S138" s="25"/>
      <c r="T138" s="25"/>
      <c r="U138" s="25"/>
      <c r="V138" s="54">
        <f>100000</f>
        <v>100000</v>
      </c>
      <c r="W138" s="54"/>
    </row>
    <row r="139" spans="1:23" s="1" customFormat="1" ht="14.1" customHeight="1" x14ac:dyDescent="0.2">
      <c r="A139" s="21" t="s">
        <v>193</v>
      </c>
      <c r="B139" s="21"/>
      <c r="C139" s="21"/>
      <c r="D139" s="21"/>
      <c r="E139" s="21"/>
      <c r="F139" s="21"/>
      <c r="G139" s="21"/>
      <c r="H139" s="21"/>
      <c r="I139" s="22" t="s">
        <v>223</v>
      </c>
      <c r="J139" s="22"/>
      <c r="K139" s="22"/>
      <c r="L139" s="53" t="s">
        <v>194</v>
      </c>
      <c r="M139" s="53"/>
      <c r="N139" s="17">
        <f>110000</f>
        <v>110000</v>
      </c>
      <c r="O139" s="17"/>
      <c r="P139" s="17"/>
      <c r="Q139" s="17">
        <f>103680</f>
        <v>103680</v>
      </c>
      <c r="R139" s="17"/>
      <c r="S139" s="17"/>
      <c r="T139" s="17"/>
      <c r="U139" s="17"/>
      <c r="V139" s="54">
        <f>6320</f>
        <v>6320</v>
      </c>
      <c r="W139" s="54"/>
    </row>
    <row r="140" spans="1:23" s="1" customFormat="1" ht="14.1" customHeight="1" x14ac:dyDescent="0.2">
      <c r="A140" s="21" t="s">
        <v>185</v>
      </c>
      <c r="B140" s="21"/>
      <c r="C140" s="21"/>
      <c r="D140" s="21"/>
      <c r="E140" s="21"/>
      <c r="F140" s="21"/>
      <c r="G140" s="21"/>
      <c r="H140" s="21"/>
      <c r="I140" s="22" t="s">
        <v>223</v>
      </c>
      <c r="J140" s="22"/>
      <c r="K140" s="22"/>
      <c r="L140" s="53" t="s">
        <v>186</v>
      </c>
      <c r="M140" s="53"/>
      <c r="N140" s="17">
        <f>820000</f>
        <v>820000</v>
      </c>
      <c r="O140" s="17"/>
      <c r="P140" s="17"/>
      <c r="Q140" s="17">
        <f>763615</f>
        <v>763615</v>
      </c>
      <c r="R140" s="17"/>
      <c r="S140" s="17"/>
      <c r="T140" s="17"/>
      <c r="U140" s="17"/>
      <c r="V140" s="54">
        <f>56385</f>
        <v>56385</v>
      </c>
      <c r="W140" s="54"/>
    </row>
    <row r="141" spans="1:23" s="1" customFormat="1" ht="14.1" customHeight="1" x14ac:dyDescent="0.2">
      <c r="A141" s="21" t="s">
        <v>179</v>
      </c>
      <c r="B141" s="21"/>
      <c r="C141" s="21"/>
      <c r="D141" s="21"/>
      <c r="E141" s="21"/>
      <c r="F141" s="21"/>
      <c r="G141" s="21"/>
      <c r="H141" s="21"/>
      <c r="I141" s="22" t="s">
        <v>223</v>
      </c>
      <c r="J141" s="22"/>
      <c r="K141" s="22"/>
      <c r="L141" s="53" t="s">
        <v>181</v>
      </c>
      <c r="M141" s="53"/>
      <c r="N141" s="17">
        <f>3195871.33</f>
        <v>3195871.33</v>
      </c>
      <c r="O141" s="17"/>
      <c r="P141" s="17"/>
      <c r="Q141" s="17">
        <f>3109108.8</f>
        <v>3109108.8</v>
      </c>
      <c r="R141" s="17"/>
      <c r="S141" s="17"/>
      <c r="T141" s="17"/>
      <c r="U141" s="17"/>
      <c r="V141" s="54">
        <f>86762.53</f>
        <v>86762.53</v>
      </c>
      <c r="W141" s="54"/>
    </row>
    <row r="142" spans="1:23" s="1" customFormat="1" ht="14.1" customHeight="1" x14ac:dyDescent="0.2">
      <c r="A142" s="21" t="s">
        <v>187</v>
      </c>
      <c r="B142" s="21"/>
      <c r="C142" s="21"/>
      <c r="D142" s="21"/>
      <c r="E142" s="21"/>
      <c r="F142" s="21"/>
      <c r="G142" s="21"/>
      <c r="H142" s="21"/>
      <c r="I142" s="22" t="s">
        <v>223</v>
      </c>
      <c r="J142" s="22"/>
      <c r="K142" s="22"/>
      <c r="L142" s="53" t="s">
        <v>188</v>
      </c>
      <c r="M142" s="53"/>
      <c r="N142" s="17">
        <f>258000</f>
        <v>258000</v>
      </c>
      <c r="O142" s="17"/>
      <c r="P142" s="17"/>
      <c r="Q142" s="17">
        <f>238500</f>
        <v>238500</v>
      </c>
      <c r="R142" s="17"/>
      <c r="S142" s="17"/>
      <c r="T142" s="17"/>
      <c r="U142" s="17"/>
      <c r="V142" s="54">
        <f>19500</f>
        <v>19500</v>
      </c>
      <c r="W142" s="54"/>
    </row>
    <row r="143" spans="1:23" s="1" customFormat="1" ht="14.1" customHeight="1" x14ac:dyDescent="0.2">
      <c r="A143" s="21" t="s">
        <v>197</v>
      </c>
      <c r="B143" s="21"/>
      <c r="C143" s="21"/>
      <c r="D143" s="21"/>
      <c r="E143" s="21"/>
      <c r="F143" s="21"/>
      <c r="G143" s="21"/>
      <c r="H143" s="21"/>
      <c r="I143" s="22" t="s">
        <v>223</v>
      </c>
      <c r="J143" s="22"/>
      <c r="K143" s="22"/>
      <c r="L143" s="53" t="s">
        <v>198</v>
      </c>
      <c r="M143" s="53"/>
      <c r="N143" s="17">
        <f>350000</f>
        <v>350000</v>
      </c>
      <c r="O143" s="17"/>
      <c r="P143" s="17"/>
      <c r="Q143" s="17">
        <f>79800.16</f>
        <v>79800.160000000003</v>
      </c>
      <c r="R143" s="17"/>
      <c r="S143" s="17"/>
      <c r="T143" s="17"/>
      <c r="U143" s="17"/>
      <c r="V143" s="54">
        <f>270199.84</f>
        <v>270199.84000000003</v>
      </c>
      <c r="W143" s="54"/>
    </row>
    <row r="144" spans="1:23" s="1" customFormat="1" ht="14.1" customHeight="1" x14ac:dyDescent="0.2">
      <c r="A144" s="21" t="s">
        <v>168</v>
      </c>
      <c r="B144" s="21"/>
      <c r="C144" s="21"/>
      <c r="D144" s="21"/>
      <c r="E144" s="21"/>
      <c r="F144" s="21"/>
      <c r="G144" s="21"/>
      <c r="H144" s="21"/>
      <c r="I144" s="22" t="s">
        <v>223</v>
      </c>
      <c r="J144" s="22"/>
      <c r="K144" s="22"/>
      <c r="L144" s="53" t="s">
        <v>170</v>
      </c>
      <c r="M144" s="53"/>
      <c r="N144" s="17">
        <f>2807393.87</f>
        <v>2807393.87</v>
      </c>
      <c r="O144" s="17"/>
      <c r="P144" s="17"/>
      <c r="Q144" s="17">
        <f>2807350</f>
        <v>2807350</v>
      </c>
      <c r="R144" s="17"/>
      <c r="S144" s="17"/>
      <c r="T144" s="17"/>
      <c r="U144" s="17"/>
      <c r="V144" s="54">
        <f>43.87</f>
        <v>43.87</v>
      </c>
      <c r="W144" s="54"/>
    </row>
    <row r="145" spans="1:23" s="1" customFormat="1" ht="16.5" customHeight="1" x14ac:dyDescent="0.2">
      <c r="A145" s="21" t="s">
        <v>224</v>
      </c>
      <c r="B145" s="21"/>
      <c r="C145" s="21"/>
      <c r="D145" s="21"/>
      <c r="E145" s="21"/>
      <c r="F145" s="21"/>
      <c r="G145" s="21"/>
      <c r="H145" s="21"/>
      <c r="I145" s="22" t="s">
        <v>223</v>
      </c>
      <c r="J145" s="22"/>
      <c r="K145" s="22"/>
      <c r="L145" s="53" t="s">
        <v>225</v>
      </c>
      <c r="M145" s="53"/>
      <c r="N145" s="17">
        <f>675656.13</f>
        <v>675656.13</v>
      </c>
      <c r="O145" s="17"/>
      <c r="P145" s="17"/>
      <c r="Q145" s="25" t="s">
        <v>43</v>
      </c>
      <c r="R145" s="25"/>
      <c r="S145" s="25"/>
      <c r="T145" s="25"/>
      <c r="U145" s="25"/>
      <c r="V145" s="54">
        <f>675656.13</f>
        <v>675656.13</v>
      </c>
      <c r="W145" s="54"/>
    </row>
    <row r="146" spans="1:23" s="1" customFormat="1" ht="14.1" customHeight="1" x14ac:dyDescent="0.2">
      <c r="A146" s="21" t="s">
        <v>185</v>
      </c>
      <c r="B146" s="21"/>
      <c r="C146" s="21"/>
      <c r="D146" s="21"/>
      <c r="E146" s="21"/>
      <c r="F146" s="21"/>
      <c r="G146" s="21"/>
      <c r="H146" s="21"/>
      <c r="I146" s="22" t="s">
        <v>226</v>
      </c>
      <c r="J146" s="22"/>
      <c r="K146" s="22"/>
      <c r="L146" s="53" t="s">
        <v>186</v>
      </c>
      <c r="M146" s="53"/>
      <c r="N146" s="17">
        <f>33090872.54</f>
        <v>33090872.539999999</v>
      </c>
      <c r="O146" s="17"/>
      <c r="P146" s="17"/>
      <c r="Q146" s="17">
        <f>33090872.54</f>
        <v>33090872.539999999</v>
      </c>
      <c r="R146" s="17"/>
      <c r="S146" s="17"/>
      <c r="T146" s="17"/>
      <c r="U146" s="17"/>
      <c r="V146" s="54">
        <f>0</f>
        <v>0</v>
      </c>
      <c r="W146" s="54"/>
    </row>
    <row r="147" spans="1:23" s="1" customFormat="1" ht="14.1" customHeight="1" x14ac:dyDescent="0.2">
      <c r="A147" s="21" t="s">
        <v>179</v>
      </c>
      <c r="B147" s="21"/>
      <c r="C147" s="21"/>
      <c r="D147" s="21"/>
      <c r="E147" s="21"/>
      <c r="F147" s="21"/>
      <c r="G147" s="21"/>
      <c r="H147" s="21"/>
      <c r="I147" s="22" t="s">
        <v>227</v>
      </c>
      <c r="J147" s="22"/>
      <c r="K147" s="22"/>
      <c r="L147" s="53" t="s">
        <v>181</v>
      </c>
      <c r="M147" s="53"/>
      <c r="N147" s="17">
        <f>2500000</f>
        <v>2500000</v>
      </c>
      <c r="O147" s="17"/>
      <c r="P147" s="17"/>
      <c r="Q147" s="17">
        <f>380254.82</f>
        <v>380254.82</v>
      </c>
      <c r="R147" s="17"/>
      <c r="S147" s="17"/>
      <c r="T147" s="17"/>
      <c r="U147" s="17"/>
      <c r="V147" s="54">
        <f>2119745.18</f>
        <v>2119745.1800000002</v>
      </c>
      <c r="W147" s="54"/>
    </row>
    <row r="148" spans="1:23" s="1" customFormat="1" ht="14.1" customHeight="1" x14ac:dyDescent="0.2">
      <c r="A148" s="21" t="s">
        <v>179</v>
      </c>
      <c r="B148" s="21"/>
      <c r="C148" s="21"/>
      <c r="D148" s="21"/>
      <c r="E148" s="21"/>
      <c r="F148" s="21"/>
      <c r="G148" s="21"/>
      <c r="H148" s="21"/>
      <c r="I148" s="22" t="s">
        <v>228</v>
      </c>
      <c r="J148" s="22"/>
      <c r="K148" s="22"/>
      <c r="L148" s="53" t="s">
        <v>181</v>
      </c>
      <c r="M148" s="53"/>
      <c r="N148" s="17">
        <f>500000</f>
        <v>500000</v>
      </c>
      <c r="O148" s="17"/>
      <c r="P148" s="17"/>
      <c r="Q148" s="17">
        <f>120000</f>
        <v>120000</v>
      </c>
      <c r="R148" s="17"/>
      <c r="S148" s="17"/>
      <c r="T148" s="17"/>
      <c r="U148" s="17"/>
      <c r="V148" s="54">
        <f>380000</f>
        <v>380000</v>
      </c>
      <c r="W148" s="54"/>
    </row>
    <row r="149" spans="1:23" s="1" customFormat="1" ht="14.1" customHeight="1" x14ac:dyDescent="0.2">
      <c r="A149" s="21" t="s">
        <v>193</v>
      </c>
      <c r="B149" s="21"/>
      <c r="C149" s="21"/>
      <c r="D149" s="21"/>
      <c r="E149" s="21"/>
      <c r="F149" s="21"/>
      <c r="G149" s="21"/>
      <c r="H149" s="21"/>
      <c r="I149" s="22" t="s">
        <v>229</v>
      </c>
      <c r="J149" s="22"/>
      <c r="K149" s="22"/>
      <c r="L149" s="53" t="s">
        <v>194</v>
      </c>
      <c r="M149" s="53"/>
      <c r="N149" s="17">
        <f>11000</f>
        <v>11000</v>
      </c>
      <c r="O149" s="17"/>
      <c r="P149" s="17"/>
      <c r="Q149" s="17">
        <f>10848</f>
        <v>10848</v>
      </c>
      <c r="R149" s="17"/>
      <c r="S149" s="17"/>
      <c r="T149" s="17"/>
      <c r="U149" s="17"/>
      <c r="V149" s="54">
        <f>152</f>
        <v>152</v>
      </c>
      <c r="W149" s="54"/>
    </row>
    <row r="150" spans="1:23" s="1" customFormat="1" ht="14.1" customHeight="1" x14ac:dyDescent="0.2">
      <c r="A150" s="21" t="s">
        <v>179</v>
      </c>
      <c r="B150" s="21"/>
      <c r="C150" s="21"/>
      <c r="D150" s="21"/>
      <c r="E150" s="21"/>
      <c r="F150" s="21"/>
      <c r="G150" s="21"/>
      <c r="H150" s="21"/>
      <c r="I150" s="22" t="s">
        <v>229</v>
      </c>
      <c r="J150" s="22"/>
      <c r="K150" s="22"/>
      <c r="L150" s="53" t="s">
        <v>181</v>
      </c>
      <c r="M150" s="53"/>
      <c r="N150" s="17">
        <f>989000</f>
        <v>989000</v>
      </c>
      <c r="O150" s="17"/>
      <c r="P150" s="17"/>
      <c r="Q150" s="17">
        <f>498667</f>
        <v>498667</v>
      </c>
      <c r="R150" s="17"/>
      <c r="S150" s="17"/>
      <c r="T150" s="17"/>
      <c r="U150" s="17"/>
      <c r="V150" s="54">
        <f>490333</f>
        <v>490333</v>
      </c>
      <c r="W150" s="54"/>
    </row>
    <row r="151" spans="1:23" s="1" customFormat="1" ht="14.1" customHeight="1" x14ac:dyDescent="0.2">
      <c r="A151" s="21" t="s">
        <v>230</v>
      </c>
      <c r="B151" s="21"/>
      <c r="C151" s="21"/>
      <c r="D151" s="21"/>
      <c r="E151" s="21"/>
      <c r="F151" s="21"/>
      <c r="G151" s="21"/>
      <c r="H151" s="21"/>
      <c r="I151" s="22" t="s">
        <v>229</v>
      </c>
      <c r="J151" s="22"/>
      <c r="K151" s="22"/>
      <c r="L151" s="53" t="s">
        <v>231</v>
      </c>
      <c r="M151" s="53"/>
      <c r="N151" s="17">
        <f>400000</f>
        <v>400000</v>
      </c>
      <c r="O151" s="17"/>
      <c r="P151" s="17"/>
      <c r="Q151" s="17">
        <f>354623.1</f>
        <v>354623.1</v>
      </c>
      <c r="R151" s="17"/>
      <c r="S151" s="17"/>
      <c r="T151" s="17"/>
      <c r="U151" s="17"/>
      <c r="V151" s="54">
        <f>45376.9</f>
        <v>45376.9</v>
      </c>
      <c r="W151" s="54"/>
    </row>
    <row r="152" spans="1:23" s="1" customFormat="1" ht="14.1" customHeight="1" x14ac:dyDescent="0.2">
      <c r="A152" s="21" t="s">
        <v>232</v>
      </c>
      <c r="B152" s="21"/>
      <c r="C152" s="21"/>
      <c r="D152" s="21"/>
      <c r="E152" s="21"/>
      <c r="F152" s="21"/>
      <c r="G152" s="21"/>
      <c r="H152" s="21"/>
      <c r="I152" s="22" t="s">
        <v>233</v>
      </c>
      <c r="J152" s="22"/>
      <c r="K152" s="22"/>
      <c r="L152" s="53" t="s">
        <v>234</v>
      </c>
      <c r="M152" s="53"/>
      <c r="N152" s="17">
        <f>600000</f>
        <v>600000</v>
      </c>
      <c r="O152" s="17"/>
      <c r="P152" s="17"/>
      <c r="Q152" s="25" t="s">
        <v>43</v>
      </c>
      <c r="R152" s="25"/>
      <c r="S152" s="25"/>
      <c r="T152" s="25"/>
      <c r="U152" s="25"/>
      <c r="V152" s="54">
        <f>600000</f>
        <v>600000</v>
      </c>
      <c r="W152" s="54"/>
    </row>
    <row r="153" spans="1:23" s="1" customFormat="1" ht="14.1" customHeight="1" x14ac:dyDescent="0.2">
      <c r="A153" s="21" t="s">
        <v>179</v>
      </c>
      <c r="B153" s="21"/>
      <c r="C153" s="21"/>
      <c r="D153" s="21"/>
      <c r="E153" s="21"/>
      <c r="F153" s="21"/>
      <c r="G153" s="21"/>
      <c r="H153" s="21"/>
      <c r="I153" s="22" t="s">
        <v>235</v>
      </c>
      <c r="J153" s="22"/>
      <c r="K153" s="22"/>
      <c r="L153" s="53" t="s">
        <v>181</v>
      </c>
      <c r="M153" s="53"/>
      <c r="N153" s="17">
        <f>2560000</f>
        <v>2560000</v>
      </c>
      <c r="O153" s="17"/>
      <c r="P153" s="17"/>
      <c r="Q153" s="17">
        <f>2560000</f>
        <v>2560000</v>
      </c>
      <c r="R153" s="17"/>
      <c r="S153" s="17"/>
      <c r="T153" s="17"/>
      <c r="U153" s="17"/>
      <c r="V153" s="54">
        <f>0</f>
        <v>0</v>
      </c>
      <c r="W153" s="54"/>
    </row>
    <row r="154" spans="1:23" s="1" customFormat="1" ht="14.1" customHeight="1" x14ac:dyDescent="0.2">
      <c r="A154" s="21" t="s">
        <v>185</v>
      </c>
      <c r="B154" s="21"/>
      <c r="C154" s="21"/>
      <c r="D154" s="21"/>
      <c r="E154" s="21"/>
      <c r="F154" s="21"/>
      <c r="G154" s="21"/>
      <c r="H154" s="21"/>
      <c r="I154" s="22" t="s">
        <v>236</v>
      </c>
      <c r="J154" s="22"/>
      <c r="K154" s="22"/>
      <c r="L154" s="53" t="s">
        <v>186</v>
      </c>
      <c r="M154" s="53"/>
      <c r="N154" s="17">
        <f>867500</f>
        <v>867500</v>
      </c>
      <c r="O154" s="17"/>
      <c r="P154" s="17"/>
      <c r="Q154" s="17">
        <f>127550.48</f>
        <v>127550.48</v>
      </c>
      <c r="R154" s="17"/>
      <c r="S154" s="17"/>
      <c r="T154" s="17"/>
      <c r="U154" s="17"/>
      <c r="V154" s="54">
        <f>739949.52</f>
        <v>739949.52</v>
      </c>
      <c r="W154" s="54"/>
    </row>
    <row r="155" spans="1:23" s="1" customFormat="1" ht="14.1" customHeight="1" x14ac:dyDescent="0.2">
      <c r="A155" s="21" t="s">
        <v>179</v>
      </c>
      <c r="B155" s="21"/>
      <c r="C155" s="21"/>
      <c r="D155" s="21"/>
      <c r="E155" s="21"/>
      <c r="F155" s="21"/>
      <c r="G155" s="21"/>
      <c r="H155" s="21"/>
      <c r="I155" s="22" t="s">
        <v>236</v>
      </c>
      <c r="J155" s="22"/>
      <c r="K155" s="22"/>
      <c r="L155" s="53" t="s">
        <v>181</v>
      </c>
      <c r="M155" s="53"/>
      <c r="N155" s="17">
        <f>872500</f>
        <v>872500</v>
      </c>
      <c r="O155" s="17"/>
      <c r="P155" s="17"/>
      <c r="Q155" s="17">
        <f>530760.92</f>
        <v>530760.92000000004</v>
      </c>
      <c r="R155" s="17"/>
      <c r="S155" s="17"/>
      <c r="T155" s="17"/>
      <c r="U155" s="17"/>
      <c r="V155" s="54">
        <f>341739.08</f>
        <v>341739.08</v>
      </c>
      <c r="W155" s="54"/>
    </row>
    <row r="156" spans="1:23" s="1" customFormat="1" ht="14.1" customHeight="1" x14ac:dyDescent="0.2">
      <c r="A156" s="21" t="s">
        <v>195</v>
      </c>
      <c r="B156" s="21"/>
      <c r="C156" s="21"/>
      <c r="D156" s="21"/>
      <c r="E156" s="21"/>
      <c r="F156" s="21"/>
      <c r="G156" s="21"/>
      <c r="H156" s="21"/>
      <c r="I156" s="22" t="s">
        <v>237</v>
      </c>
      <c r="J156" s="22"/>
      <c r="K156" s="22"/>
      <c r="L156" s="53" t="s">
        <v>196</v>
      </c>
      <c r="M156" s="53"/>
      <c r="N156" s="17">
        <f>1500000</f>
        <v>1500000</v>
      </c>
      <c r="O156" s="17"/>
      <c r="P156" s="17"/>
      <c r="Q156" s="17">
        <f>944497.55</f>
        <v>944497.55</v>
      </c>
      <c r="R156" s="17"/>
      <c r="S156" s="17"/>
      <c r="T156" s="17"/>
      <c r="U156" s="17"/>
      <c r="V156" s="54">
        <f>555502.45</f>
        <v>555502.44999999995</v>
      </c>
      <c r="W156" s="54"/>
    </row>
    <row r="157" spans="1:23" s="1" customFormat="1" ht="14.1" customHeight="1" x14ac:dyDescent="0.2">
      <c r="A157" s="21" t="s">
        <v>193</v>
      </c>
      <c r="B157" s="21"/>
      <c r="C157" s="21"/>
      <c r="D157" s="21"/>
      <c r="E157" s="21"/>
      <c r="F157" s="21"/>
      <c r="G157" s="21"/>
      <c r="H157" s="21"/>
      <c r="I157" s="22" t="s">
        <v>238</v>
      </c>
      <c r="J157" s="22"/>
      <c r="K157" s="22"/>
      <c r="L157" s="53" t="s">
        <v>194</v>
      </c>
      <c r="M157" s="53"/>
      <c r="N157" s="17">
        <f>2000</f>
        <v>2000</v>
      </c>
      <c r="O157" s="17"/>
      <c r="P157" s="17"/>
      <c r="Q157" s="17">
        <f>1118</f>
        <v>1118</v>
      </c>
      <c r="R157" s="17"/>
      <c r="S157" s="17"/>
      <c r="T157" s="17"/>
      <c r="U157" s="17"/>
      <c r="V157" s="54">
        <f>882</f>
        <v>882</v>
      </c>
      <c r="W157" s="54"/>
    </row>
    <row r="158" spans="1:23" s="1" customFormat="1" ht="14.1" customHeight="1" x14ac:dyDescent="0.2">
      <c r="A158" s="21" t="s">
        <v>179</v>
      </c>
      <c r="B158" s="21"/>
      <c r="C158" s="21"/>
      <c r="D158" s="21"/>
      <c r="E158" s="21"/>
      <c r="F158" s="21"/>
      <c r="G158" s="21"/>
      <c r="H158" s="21"/>
      <c r="I158" s="22" t="s">
        <v>238</v>
      </c>
      <c r="J158" s="22"/>
      <c r="K158" s="22"/>
      <c r="L158" s="53" t="s">
        <v>181</v>
      </c>
      <c r="M158" s="53"/>
      <c r="N158" s="17">
        <f>1296800</f>
        <v>1296800</v>
      </c>
      <c r="O158" s="17"/>
      <c r="P158" s="17"/>
      <c r="Q158" s="17">
        <f>626614</f>
        <v>626614</v>
      </c>
      <c r="R158" s="17"/>
      <c r="S158" s="17"/>
      <c r="T158" s="17"/>
      <c r="U158" s="17"/>
      <c r="V158" s="54">
        <f>670186</f>
        <v>670186</v>
      </c>
      <c r="W158" s="54"/>
    </row>
    <row r="159" spans="1:23" s="1" customFormat="1" ht="14.1" customHeight="1" x14ac:dyDescent="0.2">
      <c r="A159" s="21" t="s">
        <v>197</v>
      </c>
      <c r="B159" s="21"/>
      <c r="C159" s="21"/>
      <c r="D159" s="21"/>
      <c r="E159" s="21"/>
      <c r="F159" s="21"/>
      <c r="G159" s="21"/>
      <c r="H159" s="21"/>
      <c r="I159" s="22" t="s">
        <v>238</v>
      </c>
      <c r="J159" s="22"/>
      <c r="K159" s="22"/>
      <c r="L159" s="53" t="s">
        <v>198</v>
      </c>
      <c r="M159" s="53"/>
      <c r="N159" s="17">
        <f>1200</f>
        <v>1200</v>
      </c>
      <c r="O159" s="17"/>
      <c r="P159" s="17"/>
      <c r="Q159" s="17">
        <f>1128.6</f>
        <v>1128.5999999999999</v>
      </c>
      <c r="R159" s="17"/>
      <c r="S159" s="17"/>
      <c r="T159" s="17"/>
      <c r="U159" s="17"/>
      <c r="V159" s="54">
        <f>71.4</f>
        <v>71.400000000000006</v>
      </c>
      <c r="W159" s="54"/>
    </row>
    <row r="160" spans="1:23" s="1" customFormat="1" ht="14.1" customHeight="1" x14ac:dyDescent="0.2">
      <c r="A160" s="21" t="s">
        <v>193</v>
      </c>
      <c r="B160" s="21"/>
      <c r="C160" s="21"/>
      <c r="D160" s="21"/>
      <c r="E160" s="21"/>
      <c r="F160" s="21"/>
      <c r="G160" s="21"/>
      <c r="H160" s="21"/>
      <c r="I160" s="22" t="s">
        <v>239</v>
      </c>
      <c r="J160" s="22"/>
      <c r="K160" s="22"/>
      <c r="L160" s="53" t="s">
        <v>194</v>
      </c>
      <c r="M160" s="53"/>
      <c r="N160" s="17">
        <f>300000</f>
        <v>300000</v>
      </c>
      <c r="O160" s="17"/>
      <c r="P160" s="17"/>
      <c r="Q160" s="17">
        <f>261660</f>
        <v>261660</v>
      </c>
      <c r="R160" s="17"/>
      <c r="S160" s="17"/>
      <c r="T160" s="17"/>
      <c r="U160" s="17"/>
      <c r="V160" s="54">
        <f>38340</f>
        <v>38340</v>
      </c>
      <c r="W160" s="54"/>
    </row>
    <row r="161" spans="1:23" s="1" customFormat="1" ht="14.1" customHeight="1" x14ac:dyDescent="0.2">
      <c r="A161" s="21" t="s">
        <v>179</v>
      </c>
      <c r="B161" s="21"/>
      <c r="C161" s="21"/>
      <c r="D161" s="21"/>
      <c r="E161" s="21"/>
      <c r="F161" s="21"/>
      <c r="G161" s="21"/>
      <c r="H161" s="21"/>
      <c r="I161" s="22" t="s">
        <v>239</v>
      </c>
      <c r="J161" s="22"/>
      <c r="K161" s="22"/>
      <c r="L161" s="53" t="s">
        <v>181</v>
      </c>
      <c r="M161" s="53"/>
      <c r="N161" s="17">
        <f>1687400</f>
        <v>1687400</v>
      </c>
      <c r="O161" s="17"/>
      <c r="P161" s="17"/>
      <c r="Q161" s="17">
        <f>460600</f>
        <v>460600</v>
      </c>
      <c r="R161" s="17"/>
      <c r="S161" s="17"/>
      <c r="T161" s="17"/>
      <c r="U161" s="17"/>
      <c r="V161" s="54">
        <f>1226800</f>
        <v>1226800</v>
      </c>
      <c r="W161" s="54"/>
    </row>
    <row r="162" spans="1:23" s="1" customFormat="1" ht="14.1" customHeight="1" x14ac:dyDescent="0.2">
      <c r="A162" s="21" t="s">
        <v>197</v>
      </c>
      <c r="B162" s="21"/>
      <c r="C162" s="21"/>
      <c r="D162" s="21"/>
      <c r="E162" s="21"/>
      <c r="F162" s="21"/>
      <c r="G162" s="21"/>
      <c r="H162" s="21"/>
      <c r="I162" s="22" t="s">
        <v>239</v>
      </c>
      <c r="J162" s="22"/>
      <c r="K162" s="22"/>
      <c r="L162" s="53" t="s">
        <v>198</v>
      </c>
      <c r="M162" s="53"/>
      <c r="N162" s="17">
        <f>12600</f>
        <v>12600</v>
      </c>
      <c r="O162" s="17"/>
      <c r="P162" s="17"/>
      <c r="Q162" s="17">
        <f>12581</f>
        <v>12581</v>
      </c>
      <c r="R162" s="17"/>
      <c r="S162" s="17"/>
      <c r="T162" s="17"/>
      <c r="U162" s="17"/>
      <c r="V162" s="54">
        <f>19</f>
        <v>19</v>
      </c>
      <c r="W162" s="54"/>
    </row>
    <row r="163" spans="1:23" s="1" customFormat="1" ht="14.1" customHeight="1" x14ac:dyDescent="0.2">
      <c r="A163" s="21" t="s">
        <v>193</v>
      </c>
      <c r="B163" s="21"/>
      <c r="C163" s="21"/>
      <c r="D163" s="21"/>
      <c r="E163" s="21"/>
      <c r="F163" s="21"/>
      <c r="G163" s="21"/>
      <c r="H163" s="21"/>
      <c r="I163" s="22" t="s">
        <v>240</v>
      </c>
      <c r="J163" s="22"/>
      <c r="K163" s="22"/>
      <c r="L163" s="53" t="s">
        <v>194</v>
      </c>
      <c r="M163" s="53"/>
      <c r="N163" s="17">
        <f>1429000</f>
        <v>1429000</v>
      </c>
      <c r="O163" s="17"/>
      <c r="P163" s="17"/>
      <c r="Q163" s="17">
        <f>1389450.04</f>
        <v>1389450.04</v>
      </c>
      <c r="R163" s="17"/>
      <c r="S163" s="17"/>
      <c r="T163" s="17"/>
      <c r="U163" s="17"/>
      <c r="V163" s="54">
        <f>39549.96</f>
        <v>39549.96</v>
      </c>
      <c r="W163" s="54"/>
    </row>
    <row r="164" spans="1:23" s="1" customFormat="1" ht="14.1" customHeight="1" x14ac:dyDescent="0.2">
      <c r="A164" s="21" t="s">
        <v>185</v>
      </c>
      <c r="B164" s="21"/>
      <c r="C164" s="21"/>
      <c r="D164" s="21"/>
      <c r="E164" s="21"/>
      <c r="F164" s="21"/>
      <c r="G164" s="21"/>
      <c r="H164" s="21"/>
      <c r="I164" s="22" t="s">
        <v>240</v>
      </c>
      <c r="J164" s="22"/>
      <c r="K164" s="22"/>
      <c r="L164" s="53" t="s">
        <v>186</v>
      </c>
      <c r="M164" s="53"/>
      <c r="N164" s="17">
        <f>3591000</f>
        <v>3591000</v>
      </c>
      <c r="O164" s="17"/>
      <c r="P164" s="17"/>
      <c r="Q164" s="17">
        <f>2826934.29</f>
        <v>2826934.29</v>
      </c>
      <c r="R164" s="17"/>
      <c r="S164" s="17"/>
      <c r="T164" s="17"/>
      <c r="U164" s="17"/>
      <c r="V164" s="54">
        <f>764065.71</f>
        <v>764065.71</v>
      </c>
      <c r="W164" s="54"/>
    </row>
    <row r="165" spans="1:23" s="1" customFormat="1" ht="14.1" customHeight="1" x14ac:dyDescent="0.2">
      <c r="A165" s="21" t="s">
        <v>179</v>
      </c>
      <c r="B165" s="21"/>
      <c r="C165" s="21"/>
      <c r="D165" s="21"/>
      <c r="E165" s="21"/>
      <c r="F165" s="21"/>
      <c r="G165" s="21"/>
      <c r="H165" s="21"/>
      <c r="I165" s="22" t="s">
        <v>240</v>
      </c>
      <c r="J165" s="22"/>
      <c r="K165" s="22"/>
      <c r="L165" s="53" t="s">
        <v>181</v>
      </c>
      <c r="M165" s="53"/>
      <c r="N165" s="17">
        <f>6538599.86</f>
        <v>6538599.8600000003</v>
      </c>
      <c r="O165" s="17"/>
      <c r="P165" s="17"/>
      <c r="Q165" s="17">
        <f>1711872.85</f>
        <v>1711872.85</v>
      </c>
      <c r="R165" s="17"/>
      <c r="S165" s="17"/>
      <c r="T165" s="17"/>
      <c r="U165" s="17"/>
      <c r="V165" s="54">
        <f>4826727.01</f>
        <v>4826727.01</v>
      </c>
      <c r="W165" s="54"/>
    </row>
    <row r="166" spans="1:23" s="1" customFormat="1" ht="14.1" customHeight="1" x14ac:dyDescent="0.2">
      <c r="A166" s="21" t="s">
        <v>187</v>
      </c>
      <c r="B166" s="21"/>
      <c r="C166" s="21"/>
      <c r="D166" s="21"/>
      <c r="E166" s="21"/>
      <c r="F166" s="21"/>
      <c r="G166" s="21"/>
      <c r="H166" s="21"/>
      <c r="I166" s="22" t="s">
        <v>240</v>
      </c>
      <c r="J166" s="22"/>
      <c r="K166" s="22"/>
      <c r="L166" s="53" t="s">
        <v>188</v>
      </c>
      <c r="M166" s="53"/>
      <c r="N166" s="17">
        <f>2950000</f>
        <v>2950000</v>
      </c>
      <c r="O166" s="17"/>
      <c r="P166" s="17"/>
      <c r="Q166" s="17">
        <f>2937698</f>
        <v>2937698</v>
      </c>
      <c r="R166" s="17"/>
      <c r="S166" s="17"/>
      <c r="T166" s="17"/>
      <c r="U166" s="17"/>
      <c r="V166" s="54">
        <f>12302</f>
        <v>12302</v>
      </c>
      <c r="W166" s="54"/>
    </row>
    <row r="167" spans="1:23" s="1" customFormat="1" ht="14.1" customHeight="1" x14ac:dyDescent="0.2">
      <c r="A167" s="21" t="s">
        <v>197</v>
      </c>
      <c r="B167" s="21"/>
      <c r="C167" s="21"/>
      <c r="D167" s="21"/>
      <c r="E167" s="21"/>
      <c r="F167" s="21"/>
      <c r="G167" s="21"/>
      <c r="H167" s="21"/>
      <c r="I167" s="22" t="s">
        <v>240</v>
      </c>
      <c r="J167" s="22"/>
      <c r="K167" s="22"/>
      <c r="L167" s="53" t="s">
        <v>198</v>
      </c>
      <c r="M167" s="53"/>
      <c r="N167" s="17">
        <f>754000</f>
        <v>754000</v>
      </c>
      <c r="O167" s="17"/>
      <c r="P167" s="17"/>
      <c r="Q167" s="17">
        <f>588623.01</f>
        <v>588623.01</v>
      </c>
      <c r="R167" s="17"/>
      <c r="S167" s="17"/>
      <c r="T167" s="17"/>
      <c r="U167" s="17"/>
      <c r="V167" s="54">
        <f>165376.99</f>
        <v>165376.99</v>
      </c>
      <c r="W167" s="54"/>
    </row>
    <row r="168" spans="1:23" s="1" customFormat="1" ht="14.1" customHeight="1" x14ac:dyDescent="0.2">
      <c r="A168" s="21" t="s">
        <v>230</v>
      </c>
      <c r="B168" s="21"/>
      <c r="C168" s="21"/>
      <c r="D168" s="21"/>
      <c r="E168" s="21"/>
      <c r="F168" s="21"/>
      <c r="G168" s="21"/>
      <c r="H168" s="21"/>
      <c r="I168" s="22" t="s">
        <v>240</v>
      </c>
      <c r="J168" s="22"/>
      <c r="K168" s="22"/>
      <c r="L168" s="53" t="s">
        <v>231</v>
      </c>
      <c r="M168" s="53"/>
      <c r="N168" s="17">
        <f>700000</f>
        <v>700000</v>
      </c>
      <c r="O168" s="17"/>
      <c r="P168" s="17"/>
      <c r="Q168" s="17">
        <f>685823.02</f>
        <v>685823.02</v>
      </c>
      <c r="R168" s="17"/>
      <c r="S168" s="17"/>
      <c r="T168" s="17"/>
      <c r="U168" s="17"/>
      <c r="V168" s="54">
        <f>14176.98</f>
        <v>14176.98</v>
      </c>
      <c r="W168" s="54"/>
    </row>
    <row r="169" spans="1:23" s="1" customFormat="1" ht="14.1" customHeight="1" x14ac:dyDescent="0.2">
      <c r="A169" s="21" t="s">
        <v>168</v>
      </c>
      <c r="B169" s="21"/>
      <c r="C169" s="21"/>
      <c r="D169" s="21"/>
      <c r="E169" s="21"/>
      <c r="F169" s="21"/>
      <c r="G169" s="21"/>
      <c r="H169" s="21"/>
      <c r="I169" s="22" t="s">
        <v>240</v>
      </c>
      <c r="J169" s="22"/>
      <c r="K169" s="22"/>
      <c r="L169" s="53" t="s">
        <v>170</v>
      </c>
      <c r="M169" s="53"/>
      <c r="N169" s="17">
        <f>370465.27</f>
        <v>370465.27</v>
      </c>
      <c r="O169" s="17"/>
      <c r="P169" s="17"/>
      <c r="Q169" s="17">
        <f>32400</f>
        <v>32400</v>
      </c>
      <c r="R169" s="17"/>
      <c r="S169" s="17"/>
      <c r="T169" s="17"/>
      <c r="U169" s="17"/>
      <c r="V169" s="54">
        <f>338065.27</f>
        <v>338065.27</v>
      </c>
      <c r="W169" s="54"/>
    </row>
    <row r="170" spans="1:23" s="1" customFormat="1" ht="14.1" customHeight="1" x14ac:dyDescent="0.2">
      <c r="A170" s="21" t="s">
        <v>179</v>
      </c>
      <c r="B170" s="21"/>
      <c r="C170" s="21"/>
      <c r="D170" s="21"/>
      <c r="E170" s="21"/>
      <c r="F170" s="21"/>
      <c r="G170" s="21"/>
      <c r="H170" s="21"/>
      <c r="I170" s="22" t="s">
        <v>241</v>
      </c>
      <c r="J170" s="22"/>
      <c r="K170" s="22"/>
      <c r="L170" s="53" t="s">
        <v>181</v>
      </c>
      <c r="M170" s="53"/>
      <c r="N170" s="17">
        <f>552650</f>
        <v>552650</v>
      </c>
      <c r="O170" s="17"/>
      <c r="P170" s="17"/>
      <c r="Q170" s="17">
        <f>360191.25</f>
        <v>360191.25</v>
      </c>
      <c r="R170" s="17"/>
      <c r="S170" s="17"/>
      <c r="T170" s="17"/>
      <c r="U170" s="17"/>
      <c r="V170" s="54">
        <f>192458.75</f>
        <v>192458.75</v>
      </c>
      <c r="W170" s="54"/>
    </row>
    <row r="171" spans="1:23" s="1" customFormat="1" ht="14.1" customHeight="1" x14ac:dyDescent="0.2">
      <c r="A171" s="21" t="s">
        <v>187</v>
      </c>
      <c r="B171" s="21"/>
      <c r="C171" s="21"/>
      <c r="D171" s="21"/>
      <c r="E171" s="21"/>
      <c r="F171" s="21"/>
      <c r="G171" s="21"/>
      <c r="H171" s="21"/>
      <c r="I171" s="22" t="s">
        <v>241</v>
      </c>
      <c r="J171" s="22"/>
      <c r="K171" s="22"/>
      <c r="L171" s="53" t="s">
        <v>188</v>
      </c>
      <c r="M171" s="53"/>
      <c r="N171" s="17">
        <f>546000</f>
        <v>546000</v>
      </c>
      <c r="O171" s="17"/>
      <c r="P171" s="17"/>
      <c r="Q171" s="17">
        <f>546000</f>
        <v>546000</v>
      </c>
      <c r="R171" s="17"/>
      <c r="S171" s="17"/>
      <c r="T171" s="17"/>
      <c r="U171" s="17"/>
      <c r="V171" s="54">
        <f>0</f>
        <v>0</v>
      </c>
      <c r="W171" s="54"/>
    </row>
    <row r="172" spans="1:23" s="1" customFormat="1" ht="14.1" customHeight="1" x14ac:dyDescent="0.2">
      <c r="A172" s="21" t="s">
        <v>193</v>
      </c>
      <c r="B172" s="21"/>
      <c r="C172" s="21"/>
      <c r="D172" s="21"/>
      <c r="E172" s="21"/>
      <c r="F172" s="21"/>
      <c r="G172" s="21"/>
      <c r="H172" s="21"/>
      <c r="I172" s="22" t="s">
        <v>242</v>
      </c>
      <c r="J172" s="22"/>
      <c r="K172" s="22"/>
      <c r="L172" s="53" t="s">
        <v>194</v>
      </c>
      <c r="M172" s="53"/>
      <c r="N172" s="17">
        <f>5000</f>
        <v>5000</v>
      </c>
      <c r="O172" s="17"/>
      <c r="P172" s="17"/>
      <c r="Q172" s="25" t="s">
        <v>43</v>
      </c>
      <c r="R172" s="25"/>
      <c r="S172" s="25"/>
      <c r="T172" s="25"/>
      <c r="U172" s="25"/>
      <c r="V172" s="54">
        <f>5000</f>
        <v>5000</v>
      </c>
      <c r="W172" s="54"/>
    </row>
    <row r="173" spans="1:23" s="1" customFormat="1" ht="14.1" customHeight="1" x14ac:dyDescent="0.2">
      <c r="A173" s="21" t="s">
        <v>185</v>
      </c>
      <c r="B173" s="21"/>
      <c r="C173" s="21"/>
      <c r="D173" s="21"/>
      <c r="E173" s="21"/>
      <c r="F173" s="21"/>
      <c r="G173" s="21"/>
      <c r="H173" s="21"/>
      <c r="I173" s="22" t="s">
        <v>242</v>
      </c>
      <c r="J173" s="22"/>
      <c r="K173" s="22"/>
      <c r="L173" s="53" t="s">
        <v>186</v>
      </c>
      <c r="M173" s="53"/>
      <c r="N173" s="17">
        <f>100000</f>
        <v>100000</v>
      </c>
      <c r="O173" s="17"/>
      <c r="P173" s="17"/>
      <c r="Q173" s="17">
        <f>99172.8</f>
        <v>99172.800000000003</v>
      </c>
      <c r="R173" s="17"/>
      <c r="S173" s="17"/>
      <c r="T173" s="17"/>
      <c r="U173" s="17"/>
      <c r="V173" s="54">
        <f>827.2</f>
        <v>827.2</v>
      </c>
      <c r="W173" s="54"/>
    </row>
    <row r="174" spans="1:23" s="1" customFormat="1" ht="14.1" customHeight="1" x14ac:dyDescent="0.2">
      <c r="A174" s="21" t="s">
        <v>179</v>
      </c>
      <c r="B174" s="21"/>
      <c r="C174" s="21"/>
      <c r="D174" s="21"/>
      <c r="E174" s="21"/>
      <c r="F174" s="21"/>
      <c r="G174" s="21"/>
      <c r="H174" s="21"/>
      <c r="I174" s="22" t="s">
        <v>242</v>
      </c>
      <c r="J174" s="22"/>
      <c r="K174" s="22"/>
      <c r="L174" s="53" t="s">
        <v>181</v>
      </c>
      <c r="M174" s="53"/>
      <c r="N174" s="17">
        <f>1300000</f>
        <v>1300000</v>
      </c>
      <c r="O174" s="17"/>
      <c r="P174" s="17"/>
      <c r="Q174" s="17">
        <f>91392</f>
        <v>91392</v>
      </c>
      <c r="R174" s="17"/>
      <c r="S174" s="17"/>
      <c r="T174" s="17"/>
      <c r="U174" s="17"/>
      <c r="V174" s="54">
        <f>1208608</f>
        <v>1208608</v>
      </c>
      <c r="W174" s="54"/>
    </row>
    <row r="175" spans="1:23" s="1" customFormat="1" ht="14.1" customHeight="1" x14ac:dyDescent="0.2">
      <c r="A175" s="21" t="s">
        <v>187</v>
      </c>
      <c r="B175" s="21"/>
      <c r="C175" s="21"/>
      <c r="D175" s="21"/>
      <c r="E175" s="21"/>
      <c r="F175" s="21"/>
      <c r="G175" s="21"/>
      <c r="H175" s="21"/>
      <c r="I175" s="22" t="s">
        <v>242</v>
      </c>
      <c r="J175" s="22"/>
      <c r="K175" s="22"/>
      <c r="L175" s="53" t="s">
        <v>188</v>
      </c>
      <c r="M175" s="53"/>
      <c r="N175" s="17">
        <f>95000</f>
        <v>95000</v>
      </c>
      <c r="O175" s="17"/>
      <c r="P175" s="17"/>
      <c r="Q175" s="25" t="s">
        <v>43</v>
      </c>
      <c r="R175" s="25"/>
      <c r="S175" s="25"/>
      <c r="T175" s="25"/>
      <c r="U175" s="25"/>
      <c r="V175" s="54">
        <f>95000</f>
        <v>95000</v>
      </c>
      <c r="W175" s="54"/>
    </row>
    <row r="176" spans="1:23" s="1" customFormat="1" ht="14.1" customHeight="1" x14ac:dyDescent="0.2">
      <c r="A176" s="21" t="s">
        <v>193</v>
      </c>
      <c r="B176" s="21"/>
      <c r="C176" s="21"/>
      <c r="D176" s="21"/>
      <c r="E176" s="21"/>
      <c r="F176" s="21"/>
      <c r="G176" s="21"/>
      <c r="H176" s="21"/>
      <c r="I176" s="22" t="s">
        <v>243</v>
      </c>
      <c r="J176" s="22"/>
      <c r="K176" s="22"/>
      <c r="L176" s="53" t="s">
        <v>194</v>
      </c>
      <c r="M176" s="53"/>
      <c r="N176" s="17">
        <f>11000</f>
        <v>11000</v>
      </c>
      <c r="O176" s="17"/>
      <c r="P176" s="17"/>
      <c r="Q176" s="17">
        <f>11000</f>
        <v>11000</v>
      </c>
      <c r="R176" s="17"/>
      <c r="S176" s="17"/>
      <c r="T176" s="17"/>
      <c r="U176" s="17"/>
      <c r="V176" s="54">
        <f>0</f>
        <v>0</v>
      </c>
      <c r="W176" s="54"/>
    </row>
    <row r="177" spans="1:23" s="1" customFormat="1" ht="14.1" customHeight="1" x14ac:dyDescent="0.2">
      <c r="A177" s="21" t="s">
        <v>179</v>
      </c>
      <c r="B177" s="21"/>
      <c r="C177" s="21"/>
      <c r="D177" s="21"/>
      <c r="E177" s="21"/>
      <c r="F177" s="21"/>
      <c r="G177" s="21"/>
      <c r="H177" s="21"/>
      <c r="I177" s="22" t="s">
        <v>243</v>
      </c>
      <c r="J177" s="22"/>
      <c r="K177" s="22"/>
      <c r="L177" s="53" t="s">
        <v>181</v>
      </c>
      <c r="M177" s="53"/>
      <c r="N177" s="17">
        <f>50000</f>
        <v>50000</v>
      </c>
      <c r="O177" s="17"/>
      <c r="P177" s="17"/>
      <c r="Q177" s="25" t="s">
        <v>43</v>
      </c>
      <c r="R177" s="25"/>
      <c r="S177" s="25"/>
      <c r="T177" s="25"/>
      <c r="U177" s="25"/>
      <c r="V177" s="54">
        <f>50000</f>
        <v>50000</v>
      </c>
      <c r="W177" s="54"/>
    </row>
    <row r="178" spans="1:23" s="1" customFormat="1" ht="14.1" customHeight="1" x14ac:dyDescent="0.2">
      <c r="A178" s="21" t="s">
        <v>168</v>
      </c>
      <c r="B178" s="21"/>
      <c r="C178" s="21"/>
      <c r="D178" s="21"/>
      <c r="E178" s="21"/>
      <c r="F178" s="21"/>
      <c r="G178" s="21"/>
      <c r="H178" s="21"/>
      <c r="I178" s="22" t="s">
        <v>243</v>
      </c>
      <c r="J178" s="22"/>
      <c r="K178" s="22"/>
      <c r="L178" s="53" t="s">
        <v>170</v>
      </c>
      <c r="M178" s="53"/>
      <c r="N178" s="17">
        <f>3200</f>
        <v>3200</v>
      </c>
      <c r="O178" s="17"/>
      <c r="P178" s="17"/>
      <c r="Q178" s="17">
        <f>3150</f>
        <v>3150</v>
      </c>
      <c r="R178" s="17"/>
      <c r="S178" s="17"/>
      <c r="T178" s="17"/>
      <c r="U178" s="17"/>
      <c r="V178" s="54">
        <f>50</f>
        <v>50</v>
      </c>
      <c r="W178" s="54"/>
    </row>
    <row r="179" spans="1:23" s="1" customFormat="1" ht="13.5" customHeight="1" x14ac:dyDescent="0.2">
      <c r="A179" s="21" t="s">
        <v>224</v>
      </c>
      <c r="B179" s="21"/>
      <c r="C179" s="21"/>
      <c r="D179" s="21"/>
      <c r="E179" s="21"/>
      <c r="F179" s="21"/>
      <c r="G179" s="21"/>
      <c r="H179" s="21"/>
      <c r="I179" s="22" t="s">
        <v>243</v>
      </c>
      <c r="J179" s="22"/>
      <c r="K179" s="22"/>
      <c r="L179" s="53" t="s">
        <v>225</v>
      </c>
      <c r="M179" s="53"/>
      <c r="N179" s="17">
        <f>135800</f>
        <v>135800</v>
      </c>
      <c r="O179" s="17"/>
      <c r="P179" s="17"/>
      <c r="Q179" s="17">
        <f>126705</f>
        <v>126705</v>
      </c>
      <c r="R179" s="17"/>
      <c r="S179" s="17"/>
      <c r="T179" s="17"/>
      <c r="U179" s="17"/>
      <c r="V179" s="54">
        <f>9095</f>
        <v>9095</v>
      </c>
      <c r="W179" s="54"/>
    </row>
    <row r="180" spans="1:23" s="1" customFormat="1" ht="14.1" customHeight="1" x14ac:dyDescent="0.2">
      <c r="A180" s="21" t="s">
        <v>158</v>
      </c>
      <c r="B180" s="21"/>
      <c r="C180" s="21"/>
      <c r="D180" s="21"/>
      <c r="E180" s="21"/>
      <c r="F180" s="21"/>
      <c r="G180" s="21"/>
      <c r="H180" s="21"/>
      <c r="I180" s="22" t="s">
        <v>244</v>
      </c>
      <c r="J180" s="22"/>
      <c r="K180" s="22"/>
      <c r="L180" s="53" t="s">
        <v>160</v>
      </c>
      <c r="M180" s="53"/>
      <c r="N180" s="17">
        <f>6350000</f>
        <v>6350000</v>
      </c>
      <c r="O180" s="17"/>
      <c r="P180" s="17"/>
      <c r="Q180" s="17">
        <f>4296554.13</f>
        <v>4296554.13</v>
      </c>
      <c r="R180" s="17"/>
      <c r="S180" s="17"/>
      <c r="T180" s="17"/>
      <c r="U180" s="17"/>
      <c r="V180" s="54">
        <f>2053445.87</f>
        <v>2053445.87</v>
      </c>
      <c r="W180" s="54"/>
    </row>
    <row r="181" spans="1:23" s="1" customFormat="1" ht="14.1" customHeight="1" x14ac:dyDescent="0.2">
      <c r="A181" s="21" t="s">
        <v>165</v>
      </c>
      <c r="B181" s="21"/>
      <c r="C181" s="21"/>
      <c r="D181" s="21"/>
      <c r="E181" s="21"/>
      <c r="F181" s="21"/>
      <c r="G181" s="21"/>
      <c r="H181" s="21"/>
      <c r="I181" s="22" t="s">
        <v>244</v>
      </c>
      <c r="J181" s="22"/>
      <c r="K181" s="22"/>
      <c r="L181" s="53" t="s">
        <v>166</v>
      </c>
      <c r="M181" s="53"/>
      <c r="N181" s="17">
        <f>50000</f>
        <v>50000</v>
      </c>
      <c r="O181" s="17"/>
      <c r="P181" s="17"/>
      <c r="Q181" s="17">
        <f>37812.06</f>
        <v>37812.06</v>
      </c>
      <c r="R181" s="17"/>
      <c r="S181" s="17"/>
      <c r="T181" s="17"/>
      <c r="U181" s="17"/>
      <c r="V181" s="54">
        <f>12187.94</f>
        <v>12187.94</v>
      </c>
      <c r="W181" s="54"/>
    </row>
    <row r="182" spans="1:23" s="1" customFormat="1" ht="14.1" customHeight="1" x14ac:dyDescent="0.2">
      <c r="A182" s="21" t="s">
        <v>245</v>
      </c>
      <c r="B182" s="21"/>
      <c r="C182" s="21"/>
      <c r="D182" s="21"/>
      <c r="E182" s="21"/>
      <c r="F182" s="21"/>
      <c r="G182" s="21"/>
      <c r="H182" s="21"/>
      <c r="I182" s="22" t="s">
        <v>246</v>
      </c>
      <c r="J182" s="22"/>
      <c r="K182" s="22"/>
      <c r="L182" s="53" t="s">
        <v>247</v>
      </c>
      <c r="M182" s="53"/>
      <c r="N182" s="17">
        <f>58500</f>
        <v>58500</v>
      </c>
      <c r="O182" s="17"/>
      <c r="P182" s="17"/>
      <c r="Q182" s="17">
        <f>22964.36</f>
        <v>22964.36</v>
      </c>
      <c r="R182" s="17"/>
      <c r="S182" s="17"/>
      <c r="T182" s="17"/>
      <c r="U182" s="17"/>
      <c r="V182" s="54">
        <f>35535.64</f>
        <v>35535.64</v>
      </c>
      <c r="W182" s="54"/>
    </row>
    <row r="183" spans="1:23" s="1" customFormat="1" ht="14.1" customHeight="1" x14ac:dyDescent="0.2">
      <c r="A183" s="21" t="s">
        <v>161</v>
      </c>
      <c r="B183" s="21"/>
      <c r="C183" s="21"/>
      <c r="D183" s="21"/>
      <c r="E183" s="21"/>
      <c r="F183" s="21"/>
      <c r="G183" s="21"/>
      <c r="H183" s="21"/>
      <c r="I183" s="22" t="s">
        <v>248</v>
      </c>
      <c r="J183" s="22"/>
      <c r="K183" s="22"/>
      <c r="L183" s="53" t="s">
        <v>163</v>
      </c>
      <c r="M183" s="53"/>
      <c r="N183" s="17">
        <f>1948000</f>
        <v>1948000</v>
      </c>
      <c r="O183" s="17"/>
      <c r="P183" s="17"/>
      <c r="Q183" s="17">
        <f>1249077.8</f>
        <v>1249077.8</v>
      </c>
      <c r="R183" s="17"/>
      <c r="S183" s="17"/>
      <c r="T183" s="17"/>
      <c r="U183" s="17"/>
      <c r="V183" s="54">
        <f>698922.2</f>
        <v>698922.2</v>
      </c>
      <c r="W183" s="54"/>
    </row>
    <row r="184" spans="1:23" s="1" customFormat="1" ht="14.1" customHeight="1" x14ac:dyDescent="0.2">
      <c r="A184" s="21" t="s">
        <v>182</v>
      </c>
      <c r="B184" s="21"/>
      <c r="C184" s="21"/>
      <c r="D184" s="21"/>
      <c r="E184" s="21"/>
      <c r="F184" s="21"/>
      <c r="G184" s="21"/>
      <c r="H184" s="21"/>
      <c r="I184" s="22" t="s">
        <v>249</v>
      </c>
      <c r="J184" s="22"/>
      <c r="K184" s="22"/>
      <c r="L184" s="53" t="s">
        <v>184</v>
      </c>
      <c r="M184" s="53"/>
      <c r="N184" s="17">
        <f>27000</f>
        <v>27000</v>
      </c>
      <c r="O184" s="17"/>
      <c r="P184" s="17"/>
      <c r="Q184" s="17">
        <f>17888.6</f>
        <v>17888.599999999999</v>
      </c>
      <c r="R184" s="17"/>
      <c r="S184" s="17"/>
      <c r="T184" s="17"/>
      <c r="U184" s="17"/>
      <c r="V184" s="54">
        <f>9111.4</f>
        <v>9111.4</v>
      </c>
      <c r="W184" s="54"/>
    </row>
    <row r="185" spans="1:23" s="1" customFormat="1" ht="14.1" customHeight="1" x14ac:dyDescent="0.2">
      <c r="A185" s="21" t="s">
        <v>193</v>
      </c>
      <c r="B185" s="21"/>
      <c r="C185" s="21"/>
      <c r="D185" s="21"/>
      <c r="E185" s="21"/>
      <c r="F185" s="21"/>
      <c r="G185" s="21"/>
      <c r="H185" s="21"/>
      <c r="I185" s="22" t="s">
        <v>249</v>
      </c>
      <c r="J185" s="22"/>
      <c r="K185" s="22"/>
      <c r="L185" s="53" t="s">
        <v>194</v>
      </c>
      <c r="M185" s="53"/>
      <c r="N185" s="17">
        <f>6300</f>
        <v>6300</v>
      </c>
      <c r="O185" s="17"/>
      <c r="P185" s="17"/>
      <c r="Q185" s="17">
        <f>6300</f>
        <v>6300</v>
      </c>
      <c r="R185" s="17"/>
      <c r="S185" s="17"/>
      <c r="T185" s="17"/>
      <c r="U185" s="17"/>
      <c r="V185" s="54">
        <f>0</f>
        <v>0</v>
      </c>
      <c r="W185" s="54"/>
    </row>
    <row r="186" spans="1:23" s="1" customFormat="1" ht="14.1" customHeight="1" x14ac:dyDescent="0.2">
      <c r="A186" s="21" t="s">
        <v>195</v>
      </c>
      <c r="B186" s="21"/>
      <c r="C186" s="21"/>
      <c r="D186" s="21"/>
      <c r="E186" s="21"/>
      <c r="F186" s="21"/>
      <c r="G186" s="21"/>
      <c r="H186" s="21"/>
      <c r="I186" s="22" t="s">
        <v>249</v>
      </c>
      <c r="J186" s="22"/>
      <c r="K186" s="22"/>
      <c r="L186" s="53" t="s">
        <v>196</v>
      </c>
      <c r="M186" s="53"/>
      <c r="N186" s="17">
        <f>26000</f>
        <v>26000</v>
      </c>
      <c r="O186" s="17"/>
      <c r="P186" s="17"/>
      <c r="Q186" s="17">
        <f>14957.68</f>
        <v>14957.68</v>
      </c>
      <c r="R186" s="17"/>
      <c r="S186" s="17"/>
      <c r="T186" s="17"/>
      <c r="U186" s="17"/>
      <c r="V186" s="54">
        <f>11042.32</f>
        <v>11042.32</v>
      </c>
      <c r="W186" s="54"/>
    </row>
    <row r="187" spans="1:23" s="1" customFormat="1" ht="14.1" customHeight="1" x14ac:dyDescent="0.2">
      <c r="A187" s="21" t="s">
        <v>185</v>
      </c>
      <c r="B187" s="21"/>
      <c r="C187" s="21"/>
      <c r="D187" s="21"/>
      <c r="E187" s="21"/>
      <c r="F187" s="21"/>
      <c r="G187" s="21"/>
      <c r="H187" s="21"/>
      <c r="I187" s="22" t="s">
        <v>249</v>
      </c>
      <c r="J187" s="22"/>
      <c r="K187" s="22"/>
      <c r="L187" s="53" t="s">
        <v>186</v>
      </c>
      <c r="M187" s="53"/>
      <c r="N187" s="17">
        <f>624700</f>
        <v>624700</v>
      </c>
      <c r="O187" s="17"/>
      <c r="P187" s="17"/>
      <c r="Q187" s="17">
        <f>464501</f>
        <v>464501</v>
      </c>
      <c r="R187" s="17"/>
      <c r="S187" s="17"/>
      <c r="T187" s="17"/>
      <c r="U187" s="17"/>
      <c r="V187" s="54">
        <f>160199</f>
        <v>160199</v>
      </c>
      <c r="W187" s="54"/>
    </row>
    <row r="188" spans="1:23" s="1" customFormat="1" ht="14.1" customHeight="1" x14ac:dyDescent="0.2">
      <c r="A188" s="21" t="s">
        <v>179</v>
      </c>
      <c r="B188" s="21"/>
      <c r="C188" s="21"/>
      <c r="D188" s="21"/>
      <c r="E188" s="21"/>
      <c r="F188" s="21"/>
      <c r="G188" s="21"/>
      <c r="H188" s="21"/>
      <c r="I188" s="22" t="s">
        <v>249</v>
      </c>
      <c r="J188" s="22"/>
      <c r="K188" s="22"/>
      <c r="L188" s="53" t="s">
        <v>181</v>
      </c>
      <c r="M188" s="53"/>
      <c r="N188" s="17">
        <f>1361000</f>
        <v>1361000</v>
      </c>
      <c r="O188" s="17"/>
      <c r="P188" s="17"/>
      <c r="Q188" s="17">
        <f>782844.02</f>
        <v>782844.02</v>
      </c>
      <c r="R188" s="17"/>
      <c r="S188" s="17"/>
      <c r="T188" s="17"/>
      <c r="U188" s="17"/>
      <c r="V188" s="54">
        <f>578155.98</f>
        <v>578155.98</v>
      </c>
      <c r="W188" s="54"/>
    </row>
    <row r="189" spans="1:23" s="1" customFormat="1" ht="14.1" customHeight="1" x14ac:dyDescent="0.2">
      <c r="A189" s="21" t="s">
        <v>168</v>
      </c>
      <c r="B189" s="21"/>
      <c r="C189" s="21"/>
      <c r="D189" s="21"/>
      <c r="E189" s="21"/>
      <c r="F189" s="21"/>
      <c r="G189" s="21"/>
      <c r="H189" s="21"/>
      <c r="I189" s="22" t="s">
        <v>249</v>
      </c>
      <c r="J189" s="22"/>
      <c r="K189" s="22"/>
      <c r="L189" s="53" t="s">
        <v>170</v>
      </c>
      <c r="M189" s="53"/>
      <c r="N189" s="17">
        <f>55000</f>
        <v>55000</v>
      </c>
      <c r="O189" s="17"/>
      <c r="P189" s="17"/>
      <c r="Q189" s="17">
        <f>54059</f>
        <v>54059</v>
      </c>
      <c r="R189" s="17"/>
      <c r="S189" s="17"/>
      <c r="T189" s="17"/>
      <c r="U189" s="17"/>
      <c r="V189" s="54">
        <f>941</f>
        <v>941</v>
      </c>
      <c r="W189" s="54"/>
    </row>
    <row r="190" spans="1:23" s="1" customFormat="1" ht="14.1" customHeight="1" x14ac:dyDescent="0.2">
      <c r="A190" s="21" t="s">
        <v>195</v>
      </c>
      <c r="B190" s="21"/>
      <c r="C190" s="21"/>
      <c r="D190" s="21"/>
      <c r="E190" s="21"/>
      <c r="F190" s="21"/>
      <c r="G190" s="21"/>
      <c r="H190" s="21"/>
      <c r="I190" s="22" t="s">
        <v>250</v>
      </c>
      <c r="J190" s="22"/>
      <c r="K190" s="22"/>
      <c r="L190" s="53" t="s">
        <v>196</v>
      </c>
      <c r="M190" s="53"/>
      <c r="N190" s="17">
        <f>900000</f>
        <v>900000</v>
      </c>
      <c r="O190" s="17"/>
      <c r="P190" s="17"/>
      <c r="Q190" s="17">
        <f>493951.92</f>
        <v>493951.92</v>
      </c>
      <c r="R190" s="17"/>
      <c r="S190" s="17"/>
      <c r="T190" s="17"/>
      <c r="U190" s="17"/>
      <c r="V190" s="54">
        <f>406048.08</f>
        <v>406048.08</v>
      </c>
      <c r="W190" s="54"/>
    </row>
    <row r="191" spans="1:23" s="1" customFormat="1" ht="24" customHeight="1" x14ac:dyDescent="0.2">
      <c r="A191" s="21" t="s">
        <v>204</v>
      </c>
      <c r="B191" s="21"/>
      <c r="C191" s="21"/>
      <c r="D191" s="21"/>
      <c r="E191" s="21"/>
      <c r="F191" s="21"/>
      <c r="G191" s="21"/>
      <c r="H191" s="21"/>
      <c r="I191" s="22" t="s">
        <v>251</v>
      </c>
      <c r="J191" s="22"/>
      <c r="K191" s="22"/>
      <c r="L191" s="53" t="s">
        <v>206</v>
      </c>
      <c r="M191" s="53"/>
      <c r="N191" s="17">
        <f>3000</f>
        <v>3000</v>
      </c>
      <c r="O191" s="17"/>
      <c r="P191" s="17"/>
      <c r="Q191" s="25" t="s">
        <v>43</v>
      </c>
      <c r="R191" s="25"/>
      <c r="S191" s="25"/>
      <c r="T191" s="25"/>
      <c r="U191" s="25"/>
      <c r="V191" s="54">
        <f>3000</f>
        <v>3000</v>
      </c>
      <c r="W191" s="54"/>
    </row>
    <row r="192" spans="1:23" s="1" customFormat="1" ht="24" customHeight="1" x14ac:dyDescent="0.2">
      <c r="A192" s="21" t="s">
        <v>207</v>
      </c>
      <c r="B192" s="21"/>
      <c r="C192" s="21"/>
      <c r="D192" s="21"/>
      <c r="E192" s="21"/>
      <c r="F192" s="21"/>
      <c r="G192" s="21"/>
      <c r="H192" s="21"/>
      <c r="I192" s="22" t="s">
        <v>251</v>
      </c>
      <c r="J192" s="22"/>
      <c r="K192" s="22"/>
      <c r="L192" s="53" t="s">
        <v>208</v>
      </c>
      <c r="M192" s="53"/>
      <c r="N192" s="17">
        <f>10000</f>
        <v>10000</v>
      </c>
      <c r="O192" s="17"/>
      <c r="P192" s="17"/>
      <c r="Q192" s="17">
        <f>0.45</f>
        <v>0.45</v>
      </c>
      <c r="R192" s="17"/>
      <c r="S192" s="17"/>
      <c r="T192" s="17"/>
      <c r="U192" s="17"/>
      <c r="V192" s="54">
        <f>9999.55</f>
        <v>9999.5499999999993</v>
      </c>
      <c r="W192" s="54"/>
    </row>
    <row r="193" spans="1:23" s="1" customFormat="1" ht="14.1" customHeight="1" x14ac:dyDescent="0.2">
      <c r="A193" s="21" t="s">
        <v>187</v>
      </c>
      <c r="B193" s="21"/>
      <c r="C193" s="21"/>
      <c r="D193" s="21"/>
      <c r="E193" s="21"/>
      <c r="F193" s="21"/>
      <c r="G193" s="21"/>
      <c r="H193" s="21"/>
      <c r="I193" s="22" t="s">
        <v>252</v>
      </c>
      <c r="J193" s="22"/>
      <c r="K193" s="22"/>
      <c r="L193" s="53" t="s">
        <v>188</v>
      </c>
      <c r="M193" s="53"/>
      <c r="N193" s="17">
        <f>181700</f>
        <v>181700</v>
      </c>
      <c r="O193" s="17"/>
      <c r="P193" s="17"/>
      <c r="Q193" s="17">
        <f>157880</f>
        <v>157880</v>
      </c>
      <c r="R193" s="17"/>
      <c r="S193" s="17"/>
      <c r="T193" s="17"/>
      <c r="U193" s="17"/>
      <c r="V193" s="54">
        <f>23820</f>
        <v>23820</v>
      </c>
      <c r="W193" s="54"/>
    </row>
    <row r="194" spans="1:23" s="1" customFormat="1" ht="14.1" customHeight="1" x14ac:dyDescent="0.2">
      <c r="A194" s="21" t="s">
        <v>168</v>
      </c>
      <c r="B194" s="21"/>
      <c r="C194" s="21"/>
      <c r="D194" s="21"/>
      <c r="E194" s="21"/>
      <c r="F194" s="21"/>
      <c r="G194" s="21"/>
      <c r="H194" s="21"/>
      <c r="I194" s="22" t="s">
        <v>252</v>
      </c>
      <c r="J194" s="22"/>
      <c r="K194" s="22"/>
      <c r="L194" s="53" t="s">
        <v>170</v>
      </c>
      <c r="M194" s="53"/>
      <c r="N194" s="17">
        <f>18300</f>
        <v>18300</v>
      </c>
      <c r="O194" s="17"/>
      <c r="P194" s="17"/>
      <c r="Q194" s="17">
        <f>18270</f>
        <v>18270</v>
      </c>
      <c r="R194" s="17"/>
      <c r="S194" s="17"/>
      <c r="T194" s="17"/>
      <c r="U194" s="17"/>
      <c r="V194" s="54">
        <f>30</f>
        <v>30</v>
      </c>
      <c r="W194" s="54"/>
    </row>
    <row r="195" spans="1:23" s="1" customFormat="1" ht="14.1" customHeight="1" x14ac:dyDescent="0.2">
      <c r="A195" s="21" t="s">
        <v>158</v>
      </c>
      <c r="B195" s="21"/>
      <c r="C195" s="21"/>
      <c r="D195" s="21"/>
      <c r="E195" s="21"/>
      <c r="F195" s="21"/>
      <c r="G195" s="21"/>
      <c r="H195" s="21"/>
      <c r="I195" s="22" t="s">
        <v>253</v>
      </c>
      <c r="J195" s="22"/>
      <c r="K195" s="22"/>
      <c r="L195" s="53" t="s">
        <v>160</v>
      </c>
      <c r="M195" s="53"/>
      <c r="N195" s="17">
        <f>2150000</f>
        <v>2150000</v>
      </c>
      <c r="O195" s="17"/>
      <c r="P195" s="17"/>
      <c r="Q195" s="17">
        <f>1404259.43</f>
        <v>1404259.43</v>
      </c>
      <c r="R195" s="17"/>
      <c r="S195" s="17"/>
      <c r="T195" s="17"/>
      <c r="U195" s="17"/>
      <c r="V195" s="54">
        <f>745740.57</f>
        <v>745740.57</v>
      </c>
      <c r="W195" s="54"/>
    </row>
    <row r="196" spans="1:23" s="1" customFormat="1" ht="14.1" customHeight="1" x14ac:dyDescent="0.2">
      <c r="A196" s="21" t="s">
        <v>165</v>
      </c>
      <c r="B196" s="21"/>
      <c r="C196" s="21"/>
      <c r="D196" s="21"/>
      <c r="E196" s="21"/>
      <c r="F196" s="21"/>
      <c r="G196" s="21"/>
      <c r="H196" s="21"/>
      <c r="I196" s="22" t="s">
        <v>253</v>
      </c>
      <c r="J196" s="22"/>
      <c r="K196" s="22"/>
      <c r="L196" s="53" t="s">
        <v>166</v>
      </c>
      <c r="M196" s="53"/>
      <c r="N196" s="17">
        <f>50000</f>
        <v>50000</v>
      </c>
      <c r="O196" s="17"/>
      <c r="P196" s="17"/>
      <c r="Q196" s="17">
        <f>13855.05</f>
        <v>13855.05</v>
      </c>
      <c r="R196" s="17"/>
      <c r="S196" s="17"/>
      <c r="T196" s="17"/>
      <c r="U196" s="17"/>
      <c r="V196" s="54">
        <f>36144.95</f>
        <v>36144.949999999997</v>
      </c>
      <c r="W196" s="54"/>
    </row>
    <row r="197" spans="1:23" s="1" customFormat="1" ht="14.1" customHeight="1" x14ac:dyDescent="0.2">
      <c r="A197" s="21" t="s">
        <v>245</v>
      </c>
      <c r="B197" s="21"/>
      <c r="C197" s="21"/>
      <c r="D197" s="21"/>
      <c r="E197" s="21"/>
      <c r="F197" s="21"/>
      <c r="G197" s="21"/>
      <c r="H197" s="21"/>
      <c r="I197" s="22" t="s">
        <v>254</v>
      </c>
      <c r="J197" s="22"/>
      <c r="K197" s="22"/>
      <c r="L197" s="53" t="s">
        <v>247</v>
      </c>
      <c r="M197" s="53"/>
      <c r="N197" s="17">
        <f>40000</f>
        <v>40000</v>
      </c>
      <c r="O197" s="17"/>
      <c r="P197" s="17"/>
      <c r="Q197" s="17">
        <f>10021.75</f>
        <v>10021.75</v>
      </c>
      <c r="R197" s="17"/>
      <c r="S197" s="17"/>
      <c r="T197" s="17"/>
      <c r="U197" s="17"/>
      <c r="V197" s="54">
        <f>29978.25</f>
        <v>29978.25</v>
      </c>
      <c r="W197" s="54"/>
    </row>
    <row r="198" spans="1:23" s="1" customFormat="1" ht="14.1" customHeight="1" x14ac:dyDescent="0.2">
      <c r="A198" s="21" t="s">
        <v>161</v>
      </c>
      <c r="B198" s="21"/>
      <c r="C198" s="21"/>
      <c r="D198" s="21"/>
      <c r="E198" s="21"/>
      <c r="F198" s="21"/>
      <c r="G198" s="21"/>
      <c r="H198" s="21"/>
      <c r="I198" s="22" t="s">
        <v>255</v>
      </c>
      <c r="J198" s="22"/>
      <c r="K198" s="22"/>
      <c r="L198" s="53" t="s">
        <v>163</v>
      </c>
      <c r="M198" s="53"/>
      <c r="N198" s="17">
        <f>584000</f>
        <v>584000</v>
      </c>
      <c r="O198" s="17"/>
      <c r="P198" s="17"/>
      <c r="Q198" s="17">
        <f>409112.3</f>
        <v>409112.3</v>
      </c>
      <c r="R198" s="17"/>
      <c r="S198" s="17"/>
      <c r="T198" s="17"/>
      <c r="U198" s="17"/>
      <c r="V198" s="54">
        <f>174887.7</f>
        <v>174887.7</v>
      </c>
      <c r="W198" s="54"/>
    </row>
    <row r="199" spans="1:23" s="1" customFormat="1" ht="14.1" customHeight="1" x14ac:dyDescent="0.2">
      <c r="A199" s="21" t="s">
        <v>182</v>
      </c>
      <c r="B199" s="21"/>
      <c r="C199" s="21"/>
      <c r="D199" s="21"/>
      <c r="E199" s="21"/>
      <c r="F199" s="21"/>
      <c r="G199" s="21"/>
      <c r="H199" s="21"/>
      <c r="I199" s="22" t="s">
        <v>256</v>
      </c>
      <c r="J199" s="22"/>
      <c r="K199" s="22"/>
      <c r="L199" s="53" t="s">
        <v>184</v>
      </c>
      <c r="M199" s="53"/>
      <c r="N199" s="17">
        <f>67000</f>
        <v>67000</v>
      </c>
      <c r="O199" s="17"/>
      <c r="P199" s="17"/>
      <c r="Q199" s="17">
        <f>43053.45</f>
        <v>43053.45</v>
      </c>
      <c r="R199" s="17"/>
      <c r="S199" s="17"/>
      <c r="T199" s="17"/>
      <c r="U199" s="17"/>
      <c r="V199" s="54">
        <f>23946.55</f>
        <v>23946.55</v>
      </c>
      <c r="W199" s="54"/>
    </row>
    <row r="200" spans="1:23" s="1" customFormat="1" ht="14.1" customHeight="1" x14ac:dyDescent="0.2">
      <c r="A200" s="21" t="s">
        <v>195</v>
      </c>
      <c r="B200" s="21"/>
      <c r="C200" s="21"/>
      <c r="D200" s="21"/>
      <c r="E200" s="21"/>
      <c r="F200" s="21"/>
      <c r="G200" s="21"/>
      <c r="H200" s="21"/>
      <c r="I200" s="22" t="s">
        <v>256</v>
      </c>
      <c r="J200" s="22"/>
      <c r="K200" s="22"/>
      <c r="L200" s="53" t="s">
        <v>196</v>
      </c>
      <c r="M200" s="53"/>
      <c r="N200" s="17">
        <f>1700</f>
        <v>1700</v>
      </c>
      <c r="O200" s="17"/>
      <c r="P200" s="17"/>
      <c r="Q200" s="17">
        <f>1223.46</f>
        <v>1223.46</v>
      </c>
      <c r="R200" s="17"/>
      <c r="S200" s="17"/>
      <c r="T200" s="17"/>
      <c r="U200" s="17"/>
      <c r="V200" s="54">
        <f>476.54</f>
        <v>476.54</v>
      </c>
      <c r="W200" s="54"/>
    </row>
    <row r="201" spans="1:23" s="1" customFormat="1" ht="14.1" customHeight="1" x14ac:dyDescent="0.2">
      <c r="A201" s="21" t="s">
        <v>185</v>
      </c>
      <c r="B201" s="21"/>
      <c r="C201" s="21"/>
      <c r="D201" s="21"/>
      <c r="E201" s="21"/>
      <c r="F201" s="21"/>
      <c r="G201" s="21"/>
      <c r="H201" s="21"/>
      <c r="I201" s="22" t="s">
        <v>256</v>
      </c>
      <c r="J201" s="22"/>
      <c r="K201" s="22"/>
      <c r="L201" s="53" t="s">
        <v>186</v>
      </c>
      <c r="M201" s="53"/>
      <c r="N201" s="17">
        <f>12300</f>
        <v>12300</v>
      </c>
      <c r="O201" s="17"/>
      <c r="P201" s="17"/>
      <c r="Q201" s="17">
        <f>1220</f>
        <v>1220</v>
      </c>
      <c r="R201" s="17"/>
      <c r="S201" s="17"/>
      <c r="T201" s="17"/>
      <c r="U201" s="17"/>
      <c r="V201" s="54">
        <f>11080</f>
        <v>11080</v>
      </c>
      <c r="W201" s="54"/>
    </row>
    <row r="202" spans="1:23" s="1" customFormat="1" ht="14.1" customHeight="1" x14ac:dyDescent="0.2">
      <c r="A202" s="21" t="s">
        <v>179</v>
      </c>
      <c r="B202" s="21"/>
      <c r="C202" s="21"/>
      <c r="D202" s="21"/>
      <c r="E202" s="21"/>
      <c r="F202" s="21"/>
      <c r="G202" s="21"/>
      <c r="H202" s="21"/>
      <c r="I202" s="22" t="s">
        <v>256</v>
      </c>
      <c r="J202" s="22"/>
      <c r="K202" s="22"/>
      <c r="L202" s="53" t="s">
        <v>181</v>
      </c>
      <c r="M202" s="53"/>
      <c r="N202" s="17">
        <f>129000</f>
        <v>129000</v>
      </c>
      <c r="O202" s="17"/>
      <c r="P202" s="17"/>
      <c r="Q202" s="17">
        <f>85485.31</f>
        <v>85485.31</v>
      </c>
      <c r="R202" s="17"/>
      <c r="S202" s="17"/>
      <c r="T202" s="17"/>
      <c r="U202" s="17"/>
      <c r="V202" s="54">
        <f>43514.69</f>
        <v>43514.69</v>
      </c>
      <c r="W202" s="54"/>
    </row>
    <row r="203" spans="1:23" s="1" customFormat="1" ht="14.1" customHeight="1" x14ac:dyDescent="0.2">
      <c r="A203" s="21" t="s">
        <v>168</v>
      </c>
      <c r="B203" s="21"/>
      <c r="C203" s="21"/>
      <c r="D203" s="21"/>
      <c r="E203" s="21"/>
      <c r="F203" s="21"/>
      <c r="G203" s="21"/>
      <c r="H203" s="21"/>
      <c r="I203" s="22" t="s">
        <v>256</v>
      </c>
      <c r="J203" s="22"/>
      <c r="K203" s="22"/>
      <c r="L203" s="53" t="s">
        <v>170</v>
      </c>
      <c r="M203" s="53"/>
      <c r="N203" s="17">
        <f>20000</f>
        <v>20000</v>
      </c>
      <c r="O203" s="17"/>
      <c r="P203" s="17"/>
      <c r="Q203" s="17">
        <f>7098</f>
        <v>7098</v>
      </c>
      <c r="R203" s="17"/>
      <c r="S203" s="17"/>
      <c r="T203" s="17"/>
      <c r="U203" s="17"/>
      <c r="V203" s="54">
        <f>12902</f>
        <v>12902</v>
      </c>
      <c r="W203" s="54"/>
    </row>
    <row r="204" spans="1:23" s="1" customFormat="1" ht="24" customHeight="1" x14ac:dyDescent="0.2">
      <c r="A204" s="21" t="s">
        <v>204</v>
      </c>
      <c r="B204" s="21"/>
      <c r="C204" s="21"/>
      <c r="D204" s="21"/>
      <c r="E204" s="21"/>
      <c r="F204" s="21"/>
      <c r="G204" s="21"/>
      <c r="H204" s="21"/>
      <c r="I204" s="22" t="s">
        <v>257</v>
      </c>
      <c r="J204" s="22"/>
      <c r="K204" s="22"/>
      <c r="L204" s="53" t="s">
        <v>206</v>
      </c>
      <c r="M204" s="53"/>
      <c r="N204" s="17">
        <f>5000</f>
        <v>5000</v>
      </c>
      <c r="O204" s="17"/>
      <c r="P204" s="17"/>
      <c r="Q204" s="17">
        <f>3000</f>
        <v>3000</v>
      </c>
      <c r="R204" s="17"/>
      <c r="S204" s="17"/>
      <c r="T204" s="17"/>
      <c r="U204" s="17"/>
      <c r="V204" s="54">
        <f>2000</f>
        <v>2000</v>
      </c>
      <c r="W204" s="54"/>
    </row>
    <row r="205" spans="1:23" s="1" customFormat="1" ht="14.1" customHeight="1" x14ac:dyDescent="0.2">
      <c r="A205" s="21" t="s">
        <v>187</v>
      </c>
      <c r="B205" s="21"/>
      <c r="C205" s="21"/>
      <c r="D205" s="21"/>
      <c r="E205" s="21"/>
      <c r="F205" s="21"/>
      <c r="G205" s="21"/>
      <c r="H205" s="21"/>
      <c r="I205" s="22" t="s">
        <v>258</v>
      </c>
      <c r="J205" s="22"/>
      <c r="K205" s="22"/>
      <c r="L205" s="53" t="s">
        <v>188</v>
      </c>
      <c r="M205" s="53"/>
      <c r="N205" s="17">
        <f>300000</f>
        <v>300000</v>
      </c>
      <c r="O205" s="17"/>
      <c r="P205" s="17"/>
      <c r="Q205" s="17">
        <f>222874</f>
        <v>222874</v>
      </c>
      <c r="R205" s="17"/>
      <c r="S205" s="17"/>
      <c r="T205" s="17"/>
      <c r="U205" s="17"/>
      <c r="V205" s="54">
        <f>77126</f>
        <v>77126</v>
      </c>
      <c r="W205" s="54"/>
    </row>
    <row r="206" spans="1:23" s="1" customFormat="1" ht="14.1" customHeight="1" x14ac:dyDescent="0.2">
      <c r="A206" s="21" t="s">
        <v>179</v>
      </c>
      <c r="B206" s="21"/>
      <c r="C206" s="21"/>
      <c r="D206" s="21"/>
      <c r="E206" s="21"/>
      <c r="F206" s="21"/>
      <c r="G206" s="21"/>
      <c r="H206" s="21"/>
      <c r="I206" s="22" t="s">
        <v>259</v>
      </c>
      <c r="J206" s="22"/>
      <c r="K206" s="22"/>
      <c r="L206" s="53" t="s">
        <v>181</v>
      </c>
      <c r="M206" s="53"/>
      <c r="N206" s="17">
        <f>150000</f>
        <v>150000</v>
      </c>
      <c r="O206" s="17"/>
      <c r="P206" s="17"/>
      <c r="Q206" s="17">
        <f>50000</f>
        <v>50000</v>
      </c>
      <c r="R206" s="17"/>
      <c r="S206" s="17"/>
      <c r="T206" s="17"/>
      <c r="U206" s="17"/>
      <c r="V206" s="54">
        <f>100000</f>
        <v>100000</v>
      </c>
      <c r="W206" s="54"/>
    </row>
    <row r="207" spans="1:23" s="1" customFormat="1" ht="15.75" customHeight="1" x14ac:dyDescent="0.2">
      <c r="A207" s="21" t="s">
        <v>224</v>
      </c>
      <c r="B207" s="21"/>
      <c r="C207" s="21"/>
      <c r="D207" s="21"/>
      <c r="E207" s="21"/>
      <c r="F207" s="21"/>
      <c r="G207" s="21"/>
      <c r="H207" s="21"/>
      <c r="I207" s="22" t="s">
        <v>259</v>
      </c>
      <c r="J207" s="22"/>
      <c r="K207" s="22"/>
      <c r="L207" s="53" t="s">
        <v>225</v>
      </c>
      <c r="M207" s="53"/>
      <c r="N207" s="17">
        <f>450000</f>
        <v>450000</v>
      </c>
      <c r="O207" s="17"/>
      <c r="P207" s="17"/>
      <c r="Q207" s="17">
        <f>169270</f>
        <v>169270</v>
      </c>
      <c r="R207" s="17"/>
      <c r="S207" s="17"/>
      <c r="T207" s="17"/>
      <c r="U207" s="17"/>
      <c r="V207" s="54">
        <f>280730</f>
        <v>280730</v>
      </c>
      <c r="W207" s="54"/>
    </row>
    <row r="208" spans="1:23" s="1" customFormat="1" ht="24" customHeight="1" x14ac:dyDescent="0.2">
      <c r="A208" s="21" t="s">
        <v>260</v>
      </c>
      <c r="B208" s="21"/>
      <c r="C208" s="21"/>
      <c r="D208" s="21"/>
      <c r="E208" s="21"/>
      <c r="F208" s="21"/>
      <c r="G208" s="21"/>
      <c r="H208" s="21"/>
      <c r="I208" s="22" t="s">
        <v>261</v>
      </c>
      <c r="J208" s="22"/>
      <c r="K208" s="22"/>
      <c r="L208" s="53" t="s">
        <v>262</v>
      </c>
      <c r="M208" s="53"/>
      <c r="N208" s="17">
        <f>300000</f>
        <v>300000</v>
      </c>
      <c r="O208" s="17"/>
      <c r="P208" s="17"/>
      <c r="Q208" s="17">
        <f>214860.6</f>
        <v>214860.6</v>
      </c>
      <c r="R208" s="17"/>
      <c r="S208" s="17"/>
      <c r="T208" s="17"/>
      <c r="U208" s="17"/>
      <c r="V208" s="54">
        <f>85139.4</f>
        <v>85139.4</v>
      </c>
      <c r="W208" s="54"/>
    </row>
    <row r="209" spans="1:23" s="1" customFormat="1" ht="14.1" customHeight="1" x14ac:dyDescent="0.2">
      <c r="A209" s="21" t="s">
        <v>193</v>
      </c>
      <c r="B209" s="21"/>
      <c r="C209" s="21"/>
      <c r="D209" s="21"/>
      <c r="E209" s="21"/>
      <c r="F209" s="21"/>
      <c r="G209" s="21"/>
      <c r="H209" s="21"/>
      <c r="I209" s="22" t="s">
        <v>263</v>
      </c>
      <c r="J209" s="22"/>
      <c r="K209" s="22"/>
      <c r="L209" s="53" t="s">
        <v>194</v>
      </c>
      <c r="M209" s="53"/>
      <c r="N209" s="17">
        <f>82000</f>
        <v>82000</v>
      </c>
      <c r="O209" s="17"/>
      <c r="P209" s="17"/>
      <c r="Q209" s="17">
        <f>77535</f>
        <v>77535</v>
      </c>
      <c r="R209" s="17"/>
      <c r="S209" s="17"/>
      <c r="T209" s="17"/>
      <c r="U209" s="17"/>
      <c r="V209" s="54">
        <f>4465</f>
        <v>4465</v>
      </c>
      <c r="W209" s="54"/>
    </row>
    <row r="210" spans="1:23" s="1" customFormat="1" ht="14.1" customHeight="1" x14ac:dyDescent="0.2">
      <c r="A210" s="21" t="s">
        <v>185</v>
      </c>
      <c r="B210" s="21"/>
      <c r="C210" s="21"/>
      <c r="D210" s="21"/>
      <c r="E210" s="21"/>
      <c r="F210" s="21"/>
      <c r="G210" s="21"/>
      <c r="H210" s="21"/>
      <c r="I210" s="22" t="s">
        <v>263</v>
      </c>
      <c r="J210" s="22"/>
      <c r="K210" s="22"/>
      <c r="L210" s="53" t="s">
        <v>186</v>
      </c>
      <c r="M210" s="53"/>
      <c r="N210" s="17">
        <f>30000</f>
        <v>30000</v>
      </c>
      <c r="O210" s="17"/>
      <c r="P210" s="17"/>
      <c r="Q210" s="25" t="s">
        <v>43</v>
      </c>
      <c r="R210" s="25"/>
      <c r="S210" s="25"/>
      <c r="T210" s="25"/>
      <c r="U210" s="25"/>
      <c r="V210" s="54">
        <f>30000</f>
        <v>30000</v>
      </c>
      <c r="W210" s="54"/>
    </row>
    <row r="211" spans="1:23" s="1" customFormat="1" ht="14.1" customHeight="1" x14ac:dyDescent="0.2">
      <c r="A211" s="21" t="s">
        <v>179</v>
      </c>
      <c r="B211" s="21"/>
      <c r="C211" s="21"/>
      <c r="D211" s="21"/>
      <c r="E211" s="21"/>
      <c r="F211" s="21"/>
      <c r="G211" s="21"/>
      <c r="H211" s="21"/>
      <c r="I211" s="22" t="s">
        <v>263</v>
      </c>
      <c r="J211" s="22"/>
      <c r="K211" s="22"/>
      <c r="L211" s="53" t="s">
        <v>181</v>
      </c>
      <c r="M211" s="53"/>
      <c r="N211" s="17">
        <f>218000</f>
        <v>218000</v>
      </c>
      <c r="O211" s="17"/>
      <c r="P211" s="17"/>
      <c r="Q211" s="17">
        <f>189932</f>
        <v>189932</v>
      </c>
      <c r="R211" s="17"/>
      <c r="S211" s="17"/>
      <c r="T211" s="17"/>
      <c r="U211" s="17"/>
      <c r="V211" s="54">
        <f>28068</f>
        <v>28068</v>
      </c>
      <c r="W211" s="54"/>
    </row>
    <row r="212" spans="1:23" s="1" customFormat="1" ht="14.1" customHeight="1" x14ac:dyDescent="0.2">
      <c r="A212" s="21" t="s">
        <v>168</v>
      </c>
      <c r="B212" s="21"/>
      <c r="C212" s="21"/>
      <c r="D212" s="21"/>
      <c r="E212" s="21"/>
      <c r="F212" s="21"/>
      <c r="G212" s="21"/>
      <c r="H212" s="21"/>
      <c r="I212" s="22" t="s">
        <v>263</v>
      </c>
      <c r="J212" s="22"/>
      <c r="K212" s="22"/>
      <c r="L212" s="53" t="s">
        <v>170</v>
      </c>
      <c r="M212" s="53"/>
      <c r="N212" s="17">
        <f>50000</f>
        <v>50000</v>
      </c>
      <c r="O212" s="17"/>
      <c r="P212" s="17"/>
      <c r="Q212" s="17">
        <f>49416.9</f>
        <v>49416.9</v>
      </c>
      <c r="R212" s="17"/>
      <c r="S212" s="17"/>
      <c r="T212" s="17"/>
      <c r="U212" s="17"/>
      <c r="V212" s="54">
        <f>583.1</f>
        <v>583.1</v>
      </c>
      <c r="W212" s="54"/>
    </row>
    <row r="213" spans="1:23" s="1" customFormat="1" ht="15" customHeight="1" thickBot="1" x14ac:dyDescent="0.25">
      <c r="A213" s="21" t="s">
        <v>224</v>
      </c>
      <c r="B213" s="21"/>
      <c r="C213" s="21"/>
      <c r="D213" s="21"/>
      <c r="E213" s="21"/>
      <c r="F213" s="21"/>
      <c r="G213" s="21"/>
      <c r="H213" s="21"/>
      <c r="I213" s="22" t="s">
        <v>263</v>
      </c>
      <c r="J213" s="22"/>
      <c r="K213" s="22"/>
      <c r="L213" s="53" t="s">
        <v>225</v>
      </c>
      <c r="M213" s="53"/>
      <c r="N213" s="17">
        <f>120000</f>
        <v>120000</v>
      </c>
      <c r="O213" s="17"/>
      <c r="P213" s="17"/>
      <c r="Q213" s="17">
        <f>16358</f>
        <v>16358</v>
      </c>
      <c r="R213" s="17"/>
      <c r="S213" s="17"/>
      <c r="T213" s="17"/>
      <c r="U213" s="17"/>
      <c r="V213" s="54">
        <f>103642</f>
        <v>103642</v>
      </c>
      <c r="W213" s="54"/>
    </row>
    <row r="214" spans="1:23" s="1" customFormat="1" ht="15" customHeight="1" thickBot="1" x14ac:dyDescent="0.25">
      <c r="A214" s="48" t="s">
        <v>264</v>
      </c>
      <c r="B214" s="48"/>
      <c r="C214" s="48"/>
      <c r="D214" s="48"/>
      <c r="E214" s="48"/>
      <c r="F214" s="48"/>
      <c r="G214" s="48"/>
      <c r="H214" s="48"/>
      <c r="I214" s="49" t="s">
        <v>12</v>
      </c>
      <c r="J214" s="49"/>
      <c r="K214" s="49"/>
      <c r="L214" s="50" t="s">
        <v>12</v>
      </c>
      <c r="M214" s="50"/>
      <c r="N214" s="51">
        <f>-16814992.3</f>
        <v>-16814992.300000001</v>
      </c>
      <c r="O214" s="51"/>
      <c r="P214" s="51"/>
      <c r="Q214" s="51">
        <f>-2031493.31</f>
        <v>-2031493.31</v>
      </c>
      <c r="R214" s="51"/>
      <c r="S214" s="51"/>
      <c r="T214" s="51"/>
      <c r="U214" s="51"/>
      <c r="V214" s="52" t="s">
        <v>12</v>
      </c>
      <c r="W214" s="52"/>
    </row>
    <row r="215" spans="1:23" s="1" customFormat="1" ht="14.1" customHeight="1" x14ac:dyDescent="0.2">
      <c r="A215" s="43" t="s">
        <v>0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1:23" s="1" customFormat="1" ht="14.1" customHeight="1" thickBot="1" x14ac:dyDescent="0.25">
      <c r="A216" s="44" t="s">
        <v>295</v>
      </c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s="1" customFormat="1" ht="45.95" customHeight="1" x14ac:dyDescent="0.2">
      <c r="A217" s="45" t="s">
        <v>1</v>
      </c>
      <c r="B217" s="45"/>
      <c r="C217" s="45"/>
      <c r="D217" s="45"/>
      <c r="E217" s="45"/>
      <c r="F217" s="45"/>
      <c r="G217" s="45"/>
      <c r="H217" s="45"/>
      <c r="I217" s="4"/>
      <c r="J217" s="45" t="s">
        <v>265</v>
      </c>
      <c r="K217" s="45"/>
      <c r="L217" s="45"/>
      <c r="M217" s="46" t="s">
        <v>3</v>
      </c>
      <c r="N217" s="46"/>
      <c r="O217" s="46"/>
      <c r="P217" s="46" t="s">
        <v>4</v>
      </c>
      <c r="Q217" s="46"/>
      <c r="R217" s="46"/>
      <c r="S217" s="46"/>
      <c r="T217" s="46"/>
      <c r="U217" s="47" t="s">
        <v>5</v>
      </c>
      <c r="V217" s="47"/>
      <c r="W217" s="47"/>
    </row>
    <row r="218" spans="1:23" s="1" customFormat="1" ht="12.95" customHeight="1" thickBot="1" x14ac:dyDescent="0.25">
      <c r="A218" s="35" t="s">
        <v>6</v>
      </c>
      <c r="B218" s="35"/>
      <c r="C218" s="35"/>
      <c r="D218" s="35"/>
      <c r="E218" s="35"/>
      <c r="F218" s="35"/>
      <c r="G218" s="35"/>
      <c r="H218" s="35"/>
      <c r="I218" s="5"/>
      <c r="J218" s="35" t="s">
        <v>7</v>
      </c>
      <c r="K218" s="35"/>
      <c r="L218" s="35"/>
      <c r="M218" s="36" t="s">
        <v>8</v>
      </c>
      <c r="N218" s="36"/>
      <c r="O218" s="36"/>
      <c r="P218" s="36" t="s">
        <v>9</v>
      </c>
      <c r="Q218" s="36"/>
      <c r="R218" s="36"/>
      <c r="S218" s="36"/>
      <c r="T218" s="36"/>
      <c r="U218" s="37" t="s">
        <v>10</v>
      </c>
      <c r="V218" s="37"/>
      <c r="W218" s="37"/>
    </row>
    <row r="219" spans="1:23" s="1" customFormat="1" ht="14.1" customHeight="1" thickBot="1" x14ac:dyDescent="0.25">
      <c r="A219" s="38" t="s">
        <v>266</v>
      </c>
      <c r="B219" s="38"/>
      <c r="C219" s="38"/>
      <c r="D219" s="38"/>
      <c r="E219" s="38"/>
      <c r="F219" s="38"/>
      <c r="G219" s="38"/>
      <c r="H219" s="38"/>
      <c r="I219" s="6"/>
      <c r="J219" s="39" t="s">
        <v>12</v>
      </c>
      <c r="K219" s="39"/>
      <c r="L219" s="39"/>
      <c r="M219" s="40">
        <f>16814992.3</f>
        <v>16814992.300000001</v>
      </c>
      <c r="N219" s="40"/>
      <c r="O219" s="40"/>
      <c r="P219" s="41">
        <f>2031493.31</f>
        <v>2031493.31</v>
      </c>
      <c r="Q219" s="41"/>
      <c r="R219" s="41"/>
      <c r="S219" s="41"/>
      <c r="T219" s="41"/>
      <c r="U219" s="42" t="s">
        <v>12</v>
      </c>
      <c r="V219" s="42"/>
      <c r="W219" s="42"/>
    </row>
    <row r="220" spans="1:23" s="1" customFormat="1" ht="14.1" customHeight="1" x14ac:dyDescent="0.2">
      <c r="A220" s="28" t="s">
        <v>267</v>
      </c>
      <c r="B220" s="28"/>
      <c r="C220" s="28"/>
      <c r="D220" s="28"/>
      <c r="E220" s="28"/>
      <c r="F220" s="28"/>
      <c r="G220" s="28"/>
      <c r="H220" s="28"/>
      <c r="I220" s="7"/>
      <c r="J220" s="23" t="s">
        <v>0</v>
      </c>
      <c r="K220" s="23"/>
      <c r="L220" s="23"/>
      <c r="M220" s="24" t="s">
        <v>0</v>
      </c>
      <c r="N220" s="24"/>
      <c r="O220" s="24"/>
      <c r="P220" s="29" t="s">
        <v>0</v>
      </c>
      <c r="Q220" s="29"/>
      <c r="R220" s="29"/>
      <c r="S220" s="29"/>
      <c r="T220" s="29"/>
      <c r="U220" s="26" t="s">
        <v>0</v>
      </c>
      <c r="V220" s="26"/>
      <c r="W220" s="26"/>
    </row>
    <row r="221" spans="1:23" s="1" customFormat="1" x14ac:dyDescent="0.2">
      <c r="A221" s="30" t="s">
        <v>268</v>
      </c>
      <c r="B221" s="30"/>
      <c r="C221" s="30"/>
      <c r="D221" s="30"/>
      <c r="E221" s="30"/>
      <c r="F221" s="30"/>
      <c r="G221" s="30"/>
      <c r="H221" s="30"/>
      <c r="I221" s="8"/>
      <c r="J221" s="31" t="s">
        <v>12</v>
      </c>
      <c r="K221" s="31"/>
      <c r="L221" s="31"/>
      <c r="M221" s="32" t="s">
        <v>43</v>
      </c>
      <c r="N221" s="32"/>
      <c r="O221" s="32"/>
      <c r="P221" s="33" t="s">
        <v>43</v>
      </c>
      <c r="Q221" s="33"/>
      <c r="R221" s="33"/>
      <c r="S221" s="33"/>
      <c r="T221" s="33"/>
      <c r="U221" s="34" t="s">
        <v>43</v>
      </c>
      <c r="V221" s="34"/>
      <c r="W221" s="34"/>
    </row>
    <row r="222" spans="1:23" s="1" customFormat="1" ht="14.1" customHeight="1" x14ac:dyDescent="0.2">
      <c r="A222" s="21" t="s">
        <v>269</v>
      </c>
      <c r="B222" s="21"/>
      <c r="C222" s="21"/>
      <c r="D222" s="21"/>
      <c r="E222" s="21"/>
      <c r="F222" s="21"/>
      <c r="G222" s="21"/>
      <c r="H222" s="21"/>
      <c r="I222" s="3"/>
      <c r="J222" s="23" t="s">
        <v>12</v>
      </c>
      <c r="K222" s="23"/>
      <c r="L222" s="23"/>
      <c r="M222" s="24" t="s">
        <v>43</v>
      </c>
      <c r="N222" s="24"/>
      <c r="O222" s="24"/>
      <c r="P222" s="25" t="s">
        <v>43</v>
      </c>
      <c r="Q222" s="25"/>
      <c r="R222" s="25"/>
      <c r="S222" s="25"/>
      <c r="T222" s="25"/>
      <c r="U222" s="26" t="s">
        <v>43</v>
      </c>
      <c r="V222" s="26"/>
      <c r="W222" s="26"/>
    </row>
    <row r="223" spans="1:23" s="1" customFormat="1" ht="14.1" customHeight="1" x14ac:dyDescent="0.2">
      <c r="A223" s="21" t="s">
        <v>270</v>
      </c>
      <c r="B223" s="21"/>
      <c r="C223" s="21"/>
      <c r="D223" s="21"/>
      <c r="E223" s="21"/>
      <c r="F223" s="21"/>
      <c r="G223" s="21"/>
      <c r="H223" s="21"/>
      <c r="I223" s="3"/>
      <c r="J223" s="22" t="s">
        <v>271</v>
      </c>
      <c r="K223" s="22"/>
      <c r="L223" s="22"/>
      <c r="M223" s="16">
        <f>16814992.3</f>
        <v>16814992.300000001</v>
      </c>
      <c r="N223" s="16"/>
      <c r="O223" s="16"/>
      <c r="P223" s="17">
        <f>2031493.31</f>
        <v>2031493.31</v>
      </c>
      <c r="Q223" s="17"/>
      <c r="R223" s="17"/>
      <c r="S223" s="17"/>
      <c r="T223" s="17"/>
      <c r="U223" s="27">
        <f>14783498.99</f>
        <v>14783498.99</v>
      </c>
      <c r="V223" s="27"/>
      <c r="W223" s="27"/>
    </row>
    <row r="224" spans="1:23" s="1" customFormat="1" ht="14.1" customHeight="1" x14ac:dyDescent="0.2">
      <c r="A224" s="21" t="s">
        <v>272</v>
      </c>
      <c r="B224" s="21"/>
      <c r="C224" s="21"/>
      <c r="D224" s="21"/>
      <c r="E224" s="21"/>
      <c r="F224" s="21"/>
      <c r="G224" s="21"/>
      <c r="H224" s="21"/>
      <c r="I224" s="3"/>
      <c r="J224" s="22" t="s">
        <v>273</v>
      </c>
      <c r="K224" s="22"/>
      <c r="L224" s="22"/>
      <c r="M224" s="16">
        <f>-92146909</f>
        <v>-92146909</v>
      </c>
      <c r="N224" s="16"/>
      <c r="O224" s="16"/>
      <c r="P224" s="17">
        <f>-80810968.91</f>
        <v>-80810968.909999996</v>
      </c>
      <c r="Q224" s="17"/>
      <c r="R224" s="17"/>
      <c r="S224" s="17"/>
      <c r="T224" s="17"/>
      <c r="U224" s="18" t="s">
        <v>12</v>
      </c>
      <c r="V224" s="18"/>
      <c r="W224" s="18"/>
    </row>
    <row r="225" spans="1:23" s="1" customFormat="1" ht="14.1" customHeight="1" x14ac:dyDescent="0.2">
      <c r="A225" s="21" t="s">
        <v>274</v>
      </c>
      <c r="B225" s="21"/>
      <c r="C225" s="21"/>
      <c r="D225" s="21"/>
      <c r="E225" s="21"/>
      <c r="F225" s="21"/>
      <c r="G225" s="21"/>
      <c r="H225" s="21"/>
      <c r="I225" s="3"/>
      <c r="J225" s="22" t="s">
        <v>275</v>
      </c>
      <c r="K225" s="22"/>
      <c r="L225" s="22"/>
      <c r="M225" s="16">
        <f>-92146909</f>
        <v>-92146909</v>
      </c>
      <c r="N225" s="16"/>
      <c r="O225" s="16"/>
      <c r="P225" s="17">
        <f>-80810968.91</f>
        <v>-80810968.909999996</v>
      </c>
      <c r="Q225" s="17"/>
      <c r="R225" s="17"/>
      <c r="S225" s="17"/>
      <c r="T225" s="17"/>
      <c r="U225" s="18" t="s">
        <v>12</v>
      </c>
      <c r="V225" s="18"/>
      <c r="W225" s="18"/>
    </row>
    <row r="226" spans="1:23" s="1" customFormat="1" ht="14.1" customHeight="1" x14ac:dyDescent="0.2">
      <c r="A226" s="21" t="s">
        <v>276</v>
      </c>
      <c r="B226" s="21"/>
      <c r="C226" s="21"/>
      <c r="D226" s="21"/>
      <c r="E226" s="21"/>
      <c r="F226" s="21"/>
      <c r="G226" s="21"/>
      <c r="H226" s="21"/>
      <c r="I226" s="3"/>
      <c r="J226" s="22" t="s">
        <v>277</v>
      </c>
      <c r="K226" s="22"/>
      <c r="L226" s="22"/>
      <c r="M226" s="16">
        <f>-92146909</f>
        <v>-92146909</v>
      </c>
      <c r="N226" s="16"/>
      <c r="O226" s="16"/>
      <c r="P226" s="17">
        <f>-80810968.91</f>
        <v>-80810968.909999996</v>
      </c>
      <c r="Q226" s="17"/>
      <c r="R226" s="17"/>
      <c r="S226" s="17"/>
      <c r="T226" s="17"/>
      <c r="U226" s="18" t="s">
        <v>12</v>
      </c>
      <c r="V226" s="18"/>
      <c r="W226" s="18"/>
    </row>
    <row r="227" spans="1:23" s="1" customFormat="1" ht="14.1" customHeight="1" x14ac:dyDescent="0.2">
      <c r="A227" s="21" t="s">
        <v>278</v>
      </c>
      <c r="B227" s="21"/>
      <c r="C227" s="21"/>
      <c r="D227" s="21"/>
      <c r="E227" s="21"/>
      <c r="F227" s="21"/>
      <c r="G227" s="21"/>
      <c r="H227" s="21"/>
      <c r="I227" s="3"/>
      <c r="J227" s="22" t="s">
        <v>279</v>
      </c>
      <c r="K227" s="22"/>
      <c r="L227" s="22"/>
      <c r="M227" s="16">
        <f>-92146909</f>
        <v>-92146909</v>
      </c>
      <c r="N227" s="16"/>
      <c r="O227" s="16"/>
      <c r="P227" s="17">
        <f>-80810968.91</f>
        <v>-80810968.909999996</v>
      </c>
      <c r="Q227" s="17"/>
      <c r="R227" s="17"/>
      <c r="S227" s="17"/>
      <c r="T227" s="17"/>
      <c r="U227" s="18" t="s">
        <v>12</v>
      </c>
      <c r="V227" s="18"/>
      <c r="W227" s="18"/>
    </row>
    <row r="228" spans="1:23" s="1" customFormat="1" ht="14.1" customHeight="1" x14ac:dyDescent="0.2">
      <c r="A228" s="21" t="s">
        <v>280</v>
      </c>
      <c r="B228" s="21"/>
      <c r="C228" s="21"/>
      <c r="D228" s="21"/>
      <c r="E228" s="21"/>
      <c r="F228" s="21"/>
      <c r="G228" s="21"/>
      <c r="H228" s="21"/>
      <c r="I228" s="3"/>
      <c r="J228" s="22" t="s">
        <v>281</v>
      </c>
      <c r="K228" s="22"/>
      <c r="L228" s="22"/>
      <c r="M228" s="16">
        <f>108961901.3</f>
        <v>108961901.3</v>
      </c>
      <c r="N228" s="16"/>
      <c r="O228" s="16"/>
      <c r="P228" s="17">
        <f>82842462.22</f>
        <v>82842462.219999999</v>
      </c>
      <c r="Q228" s="17"/>
      <c r="R228" s="17"/>
      <c r="S228" s="17"/>
      <c r="T228" s="17"/>
      <c r="U228" s="18" t="s">
        <v>12</v>
      </c>
      <c r="V228" s="18"/>
      <c r="W228" s="18"/>
    </row>
    <row r="229" spans="1:23" s="1" customFormat="1" ht="14.1" customHeight="1" x14ac:dyDescent="0.2">
      <c r="A229" s="21" t="s">
        <v>282</v>
      </c>
      <c r="B229" s="21"/>
      <c r="C229" s="21"/>
      <c r="D229" s="21"/>
      <c r="E229" s="21"/>
      <c r="F229" s="21"/>
      <c r="G229" s="21"/>
      <c r="H229" s="21"/>
      <c r="I229" s="3"/>
      <c r="J229" s="22" t="s">
        <v>283</v>
      </c>
      <c r="K229" s="22"/>
      <c r="L229" s="22"/>
      <c r="M229" s="16">
        <f>108961901.3</f>
        <v>108961901.3</v>
      </c>
      <c r="N229" s="16"/>
      <c r="O229" s="16"/>
      <c r="P229" s="17">
        <f>82842462.22</f>
        <v>82842462.219999999</v>
      </c>
      <c r="Q229" s="17"/>
      <c r="R229" s="17"/>
      <c r="S229" s="17"/>
      <c r="T229" s="17"/>
      <c r="U229" s="18" t="s">
        <v>12</v>
      </c>
      <c r="V229" s="18"/>
      <c r="W229" s="18"/>
    </row>
    <row r="230" spans="1:23" s="1" customFormat="1" ht="14.1" customHeight="1" x14ac:dyDescent="0.2">
      <c r="A230" s="21" t="s">
        <v>284</v>
      </c>
      <c r="B230" s="21"/>
      <c r="C230" s="21"/>
      <c r="D230" s="21"/>
      <c r="E230" s="21"/>
      <c r="F230" s="21"/>
      <c r="G230" s="21"/>
      <c r="H230" s="21"/>
      <c r="I230" s="3"/>
      <c r="J230" s="22" t="s">
        <v>285</v>
      </c>
      <c r="K230" s="22"/>
      <c r="L230" s="22"/>
      <c r="M230" s="16">
        <f>108961901.3</f>
        <v>108961901.3</v>
      </c>
      <c r="N230" s="16"/>
      <c r="O230" s="16"/>
      <c r="P230" s="17">
        <f>82842462.22</f>
        <v>82842462.219999999</v>
      </c>
      <c r="Q230" s="17"/>
      <c r="R230" s="17"/>
      <c r="S230" s="17"/>
      <c r="T230" s="17"/>
      <c r="U230" s="18" t="s">
        <v>12</v>
      </c>
      <c r="V230" s="18"/>
      <c r="W230" s="18"/>
    </row>
    <row r="231" spans="1:23" s="1" customFormat="1" ht="14.1" customHeight="1" x14ac:dyDescent="0.2">
      <c r="A231" s="21" t="s">
        <v>286</v>
      </c>
      <c r="B231" s="21"/>
      <c r="C231" s="21"/>
      <c r="D231" s="21"/>
      <c r="E231" s="21"/>
      <c r="F231" s="21"/>
      <c r="G231" s="21"/>
      <c r="H231" s="21"/>
      <c r="I231" s="3"/>
      <c r="J231" s="22" t="s">
        <v>287</v>
      </c>
      <c r="K231" s="22"/>
      <c r="L231" s="22"/>
      <c r="M231" s="16">
        <f>108961901.3</f>
        <v>108961901.3</v>
      </c>
      <c r="N231" s="16"/>
      <c r="O231" s="16"/>
      <c r="P231" s="17">
        <f>82842462.22</f>
        <v>82842462.219999999</v>
      </c>
      <c r="Q231" s="17"/>
      <c r="R231" s="17"/>
      <c r="S231" s="17"/>
      <c r="T231" s="17"/>
      <c r="U231" s="18" t="s">
        <v>12</v>
      </c>
      <c r="V231" s="18"/>
      <c r="W231" s="18"/>
    </row>
    <row r="232" spans="1:23" s="1" customFormat="1" ht="14.1" customHeight="1" x14ac:dyDescent="0.2">
      <c r="A232" s="20" t="s">
        <v>0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s="1" customFormat="1" ht="14.1" customHeight="1" x14ac:dyDescent="0.2">
      <c r="A233" s="12"/>
      <c r="B233" s="12"/>
      <c r="C233" s="12"/>
      <c r="D233" s="12"/>
      <c r="E233" s="12"/>
      <c r="F233" s="15"/>
      <c r="G233" s="15"/>
      <c r="H233" s="15"/>
      <c r="I233" s="15"/>
      <c r="J233" s="15"/>
      <c r="K233" s="15"/>
      <c r="L233" s="15"/>
      <c r="M233" s="15"/>
      <c r="N233" s="15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1" customFormat="1" ht="14.1" customHeight="1" x14ac:dyDescent="0.2">
      <c r="A234" s="12"/>
      <c r="B234" s="12"/>
      <c r="C234" s="12"/>
      <c r="D234" s="12"/>
      <c r="E234" s="12"/>
      <c r="F234" s="10"/>
      <c r="G234" s="19"/>
      <c r="H234" s="19"/>
      <c r="I234" s="10"/>
      <c r="J234" s="10"/>
      <c r="K234" s="19"/>
      <c r="L234" s="19"/>
      <c r="M234" s="19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1" customFormat="1" ht="8.1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1" customFormat="1" ht="14.1" customHeight="1" x14ac:dyDescent="0.2">
      <c r="A236" s="12"/>
      <c r="B236" s="12"/>
      <c r="C236" s="12"/>
      <c r="D236" s="12"/>
      <c r="E236" s="12"/>
      <c r="F236" s="15"/>
      <c r="G236" s="15"/>
      <c r="H236" s="15"/>
      <c r="I236" s="15"/>
      <c r="J236" s="15"/>
      <c r="K236" s="15"/>
      <c r="L236" s="15"/>
      <c r="M236" s="15"/>
      <c r="N236" s="15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1" customFormat="1" ht="14.1" customHeight="1" x14ac:dyDescent="0.2">
      <c r="A237" s="12"/>
      <c r="B237" s="12"/>
      <c r="C237" s="12"/>
      <c r="D237" s="12"/>
      <c r="E237" s="12"/>
      <c r="F237" s="10"/>
      <c r="G237" s="19"/>
      <c r="H237" s="19"/>
      <c r="I237" s="10"/>
      <c r="J237" s="10"/>
      <c r="K237" s="19"/>
      <c r="L237" s="19"/>
      <c r="M237" s="19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1" customFormat="1" ht="15.9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1" customFormat="1" ht="14.1" customHeight="1" x14ac:dyDescent="0.2">
      <c r="A239" s="13"/>
      <c r="B239" s="13"/>
      <c r="C239" s="13"/>
      <c r="D239" s="13"/>
      <c r="E239" s="13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1" customFormat="1" ht="14.1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</sheetData>
  <mergeCells count="1263">
    <mergeCell ref="U9:W9"/>
    <mergeCell ref="Q1:W1"/>
    <mergeCell ref="Q2:W2"/>
    <mergeCell ref="Q3:W3"/>
    <mergeCell ref="Q4:W4"/>
    <mergeCell ref="Q5:W5"/>
    <mergeCell ref="A7:W7"/>
    <mergeCell ref="U11:W11"/>
    <mergeCell ref="A8:H8"/>
    <mergeCell ref="J8:L8"/>
    <mergeCell ref="M8:O8"/>
    <mergeCell ref="P8:T8"/>
    <mergeCell ref="U8:W8"/>
    <mergeCell ref="A9:H9"/>
    <mergeCell ref="J9:L9"/>
    <mergeCell ref="M9:O9"/>
    <mergeCell ref="P9:T9"/>
    <mergeCell ref="U13:W13"/>
    <mergeCell ref="A10:H10"/>
    <mergeCell ref="J10:L10"/>
    <mergeCell ref="M10:O10"/>
    <mergeCell ref="P10:T10"/>
    <mergeCell ref="U10:W10"/>
    <mergeCell ref="A11:H11"/>
    <mergeCell ref="J11:L11"/>
    <mergeCell ref="M11:O11"/>
    <mergeCell ref="P11:T11"/>
    <mergeCell ref="U15:W15"/>
    <mergeCell ref="A12:H12"/>
    <mergeCell ref="J12:L12"/>
    <mergeCell ref="M12:O12"/>
    <mergeCell ref="P12:T12"/>
    <mergeCell ref="U12:W12"/>
    <mergeCell ref="A13:H13"/>
    <mergeCell ref="J13:L13"/>
    <mergeCell ref="M13:O13"/>
    <mergeCell ref="P13:T13"/>
    <mergeCell ref="U17:W17"/>
    <mergeCell ref="A14:H14"/>
    <mergeCell ref="J14:L14"/>
    <mergeCell ref="M14:O14"/>
    <mergeCell ref="P14:T14"/>
    <mergeCell ref="U14:W14"/>
    <mergeCell ref="A15:H15"/>
    <mergeCell ref="J15:L15"/>
    <mergeCell ref="M15:O15"/>
    <mergeCell ref="P15:T15"/>
    <mergeCell ref="U19:W19"/>
    <mergeCell ref="A16:H16"/>
    <mergeCell ref="J16:L16"/>
    <mergeCell ref="M16:O16"/>
    <mergeCell ref="P16:T16"/>
    <mergeCell ref="U16:W16"/>
    <mergeCell ref="A17:H17"/>
    <mergeCell ref="J17:L17"/>
    <mergeCell ref="M17:O17"/>
    <mergeCell ref="P17:T17"/>
    <mergeCell ref="U21:W21"/>
    <mergeCell ref="A18:H18"/>
    <mergeCell ref="J18:L18"/>
    <mergeCell ref="M18:O18"/>
    <mergeCell ref="P18:T18"/>
    <mergeCell ref="U18:W18"/>
    <mergeCell ref="A19:H19"/>
    <mergeCell ref="J19:L19"/>
    <mergeCell ref="M19:O19"/>
    <mergeCell ref="P19:T19"/>
    <mergeCell ref="U23:W23"/>
    <mergeCell ref="A20:H20"/>
    <mergeCell ref="J20:L20"/>
    <mergeCell ref="M20:O20"/>
    <mergeCell ref="P20:T20"/>
    <mergeCell ref="U20:W20"/>
    <mergeCell ref="A21:H21"/>
    <mergeCell ref="J21:L21"/>
    <mergeCell ref="M21:O21"/>
    <mergeCell ref="P21:T21"/>
    <mergeCell ref="U25:W25"/>
    <mergeCell ref="A22:H22"/>
    <mergeCell ref="J22:L22"/>
    <mergeCell ref="M22:O22"/>
    <mergeCell ref="P22:T22"/>
    <mergeCell ref="U22:W22"/>
    <mergeCell ref="A23:H23"/>
    <mergeCell ref="J23:L23"/>
    <mergeCell ref="M23:O23"/>
    <mergeCell ref="P23:T23"/>
    <mergeCell ref="U27:W27"/>
    <mergeCell ref="A24:H24"/>
    <mergeCell ref="J24:L24"/>
    <mergeCell ref="M24:O24"/>
    <mergeCell ref="P24:T24"/>
    <mergeCell ref="U24:W24"/>
    <mergeCell ref="A25:H25"/>
    <mergeCell ref="J25:L25"/>
    <mergeCell ref="M25:O25"/>
    <mergeCell ref="P25:T25"/>
    <mergeCell ref="U29:W29"/>
    <mergeCell ref="A26:H26"/>
    <mergeCell ref="J26:L26"/>
    <mergeCell ref="M26:O26"/>
    <mergeCell ref="P26:T26"/>
    <mergeCell ref="U26:W26"/>
    <mergeCell ref="A27:H27"/>
    <mergeCell ref="J27:L27"/>
    <mergeCell ref="M27:O27"/>
    <mergeCell ref="P27:T27"/>
    <mergeCell ref="U31:W31"/>
    <mergeCell ref="A28:H28"/>
    <mergeCell ref="J28:L28"/>
    <mergeCell ref="M28:O28"/>
    <mergeCell ref="P28:T28"/>
    <mergeCell ref="U28:W28"/>
    <mergeCell ref="A29:H29"/>
    <mergeCell ref="J29:L29"/>
    <mergeCell ref="M29:O29"/>
    <mergeCell ref="P29:T29"/>
    <mergeCell ref="U33:W33"/>
    <mergeCell ref="A30:H30"/>
    <mergeCell ref="J30:L30"/>
    <mergeCell ref="M30:O30"/>
    <mergeCell ref="P30:T30"/>
    <mergeCell ref="U30:W30"/>
    <mergeCell ref="A31:H31"/>
    <mergeCell ref="J31:L31"/>
    <mergeCell ref="M31:O31"/>
    <mergeCell ref="P31:T31"/>
    <mergeCell ref="U35:W35"/>
    <mergeCell ref="A32:H32"/>
    <mergeCell ref="J32:L32"/>
    <mergeCell ref="M32:O32"/>
    <mergeCell ref="P32:T32"/>
    <mergeCell ref="U32:W32"/>
    <mergeCell ref="A33:H33"/>
    <mergeCell ref="J33:L33"/>
    <mergeCell ref="M33:O33"/>
    <mergeCell ref="P33:T33"/>
    <mergeCell ref="U37:W37"/>
    <mergeCell ref="A34:H34"/>
    <mergeCell ref="J34:L34"/>
    <mergeCell ref="M34:O34"/>
    <mergeCell ref="P34:T34"/>
    <mergeCell ref="U34:W34"/>
    <mergeCell ref="A35:H35"/>
    <mergeCell ref="J35:L35"/>
    <mergeCell ref="M35:O35"/>
    <mergeCell ref="P35:T35"/>
    <mergeCell ref="U39:W39"/>
    <mergeCell ref="A36:H36"/>
    <mergeCell ref="J36:L36"/>
    <mergeCell ref="M36:O36"/>
    <mergeCell ref="P36:T36"/>
    <mergeCell ref="U36:W36"/>
    <mergeCell ref="A37:H37"/>
    <mergeCell ref="J37:L37"/>
    <mergeCell ref="M37:O37"/>
    <mergeCell ref="P37:T37"/>
    <mergeCell ref="U41:W41"/>
    <mergeCell ref="A38:H38"/>
    <mergeCell ref="J38:L38"/>
    <mergeCell ref="M38:O38"/>
    <mergeCell ref="P38:T38"/>
    <mergeCell ref="U38:W38"/>
    <mergeCell ref="A39:H39"/>
    <mergeCell ref="J39:L39"/>
    <mergeCell ref="M39:O39"/>
    <mergeCell ref="P39:T39"/>
    <mergeCell ref="U43:W43"/>
    <mergeCell ref="A40:H40"/>
    <mergeCell ref="J40:L40"/>
    <mergeCell ref="M40:O40"/>
    <mergeCell ref="P40:T40"/>
    <mergeCell ref="U40:W40"/>
    <mergeCell ref="A41:H41"/>
    <mergeCell ref="J41:L41"/>
    <mergeCell ref="M41:O41"/>
    <mergeCell ref="P41:T41"/>
    <mergeCell ref="U45:W45"/>
    <mergeCell ref="A42:H42"/>
    <mergeCell ref="J42:L42"/>
    <mergeCell ref="M42:O42"/>
    <mergeCell ref="P42:T42"/>
    <mergeCell ref="U42:W42"/>
    <mergeCell ref="A43:H43"/>
    <mergeCell ref="J43:L43"/>
    <mergeCell ref="M43:O43"/>
    <mergeCell ref="P43:T43"/>
    <mergeCell ref="U47:W47"/>
    <mergeCell ref="A44:H44"/>
    <mergeCell ref="J44:L44"/>
    <mergeCell ref="M44:O44"/>
    <mergeCell ref="P44:T44"/>
    <mergeCell ref="U44:W44"/>
    <mergeCell ref="A45:H45"/>
    <mergeCell ref="J45:L45"/>
    <mergeCell ref="M45:O45"/>
    <mergeCell ref="P45:T45"/>
    <mergeCell ref="U49:W49"/>
    <mergeCell ref="A46:H46"/>
    <mergeCell ref="J46:L46"/>
    <mergeCell ref="M46:O46"/>
    <mergeCell ref="P46:T46"/>
    <mergeCell ref="U46:W46"/>
    <mergeCell ref="A47:H47"/>
    <mergeCell ref="J47:L47"/>
    <mergeCell ref="M47:O47"/>
    <mergeCell ref="P47:T47"/>
    <mergeCell ref="U51:W51"/>
    <mergeCell ref="A48:H48"/>
    <mergeCell ref="J48:L48"/>
    <mergeCell ref="M48:O48"/>
    <mergeCell ref="P48:T48"/>
    <mergeCell ref="U48:W48"/>
    <mergeCell ref="A49:H49"/>
    <mergeCell ref="J49:L49"/>
    <mergeCell ref="M49:O49"/>
    <mergeCell ref="P49:T49"/>
    <mergeCell ref="U53:W53"/>
    <mergeCell ref="A50:H50"/>
    <mergeCell ref="J50:L50"/>
    <mergeCell ref="M50:O50"/>
    <mergeCell ref="P50:T50"/>
    <mergeCell ref="U50:W50"/>
    <mergeCell ref="A51:H51"/>
    <mergeCell ref="J51:L51"/>
    <mergeCell ref="M51:O51"/>
    <mergeCell ref="P51:T51"/>
    <mergeCell ref="U55:W55"/>
    <mergeCell ref="A52:H52"/>
    <mergeCell ref="J52:L52"/>
    <mergeCell ref="M52:O52"/>
    <mergeCell ref="P52:T52"/>
    <mergeCell ref="U52:W52"/>
    <mergeCell ref="A53:H53"/>
    <mergeCell ref="J53:L53"/>
    <mergeCell ref="M53:O53"/>
    <mergeCell ref="P53:T53"/>
    <mergeCell ref="U57:W57"/>
    <mergeCell ref="A54:H54"/>
    <mergeCell ref="J54:L54"/>
    <mergeCell ref="M54:O54"/>
    <mergeCell ref="P54:T54"/>
    <mergeCell ref="U54:W54"/>
    <mergeCell ref="A55:H55"/>
    <mergeCell ref="J55:L55"/>
    <mergeCell ref="M55:O55"/>
    <mergeCell ref="P55:T55"/>
    <mergeCell ref="U59:W59"/>
    <mergeCell ref="A56:H56"/>
    <mergeCell ref="J56:L56"/>
    <mergeCell ref="M56:O56"/>
    <mergeCell ref="P56:T56"/>
    <mergeCell ref="U56:W56"/>
    <mergeCell ref="A57:H57"/>
    <mergeCell ref="J57:L57"/>
    <mergeCell ref="M57:O57"/>
    <mergeCell ref="P57:T57"/>
    <mergeCell ref="U61:W61"/>
    <mergeCell ref="A58:H58"/>
    <mergeCell ref="J58:L58"/>
    <mergeCell ref="M58:O58"/>
    <mergeCell ref="P58:T58"/>
    <mergeCell ref="U58:W58"/>
    <mergeCell ref="A59:H59"/>
    <mergeCell ref="J59:L59"/>
    <mergeCell ref="M59:O59"/>
    <mergeCell ref="P59:T59"/>
    <mergeCell ref="U63:W63"/>
    <mergeCell ref="A60:H60"/>
    <mergeCell ref="J60:L60"/>
    <mergeCell ref="M60:O60"/>
    <mergeCell ref="P60:T60"/>
    <mergeCell ref="U60:W60"/>
    <mergeCell ref="A61:H61"/>
    <mergeCell ref="J61:L61"/>
    <mergeCell ref="M61:O61"/>
    <mergeCell ref="P61:T61"/>
    <mergeCell ref="U65:W65"/>
    <mergeCell ref="A62:H62"/>
    <mergeCell ref="J62:L62"/>
    <mergeCell ref="M62:O62"/>
    <mergeCell ref="P62:T62"/>
    <mergeCell ref="U62:W62"/>
    <mergeCell ref="A63:H63"/>
    <mergeCell ref="J63:L63"/>
    <mergeCell ref="M63:O63"/>
    <mergeCell ref="P63:T63"/>
    <mergeCell ref="U67:W67"/>
    <mergeCell ref="A64:H64"/>
    <mergeCell ref="J64:L64"/>
    <mergeCell ref="M64:O64"/>
    <mergeCell ref="P64:T64"/>
    <mergeCell ref="U64:W64"/>
    <mergeCell ref="A65:H65"/>
    <mergeCell ref="J65:L65"/>
    <mergeCell ref="M65:O65"/>
    <mergeCell ref="P65:T65"/>
    <mergeCell ref="U69:W69"/>
    <mergeCell ref="A66:H66"/>
    <mergeCell ref="J66:L66"/>
    <mergeCell ref="M66:O66"/>
    <mergeCell ref="P66:T66"/>
    <mergeCell ref="U66:W66"/>
    <mergeCell ref="A67:H67"/>
    <mergeCell ref="J67:L67"/>
    <mergeCell ref="M67:O67"/>
    <mergeCell ref="P67:T67"/>
    <mergeCell ref="U71:W71"/>
    <mergeCell ref="A68:H68"/>
    <mergeCell ref="J68:L68"/>
    <mergeCell ref="M68:O68"/>
    <mergeCell ref="P68:T68"/>
    <mergeCell ref="U68:W68"/>
    <mergeCell ref="A69:H69"/>
    <mergeCell ref="J69:L69"/>
    <mergeCell ref="M69:O69"/>
    <mergeCell ref="P69:T69"/>
    <mergeCell ref="U73:W73"/>
    <mergeCell ref="A70:H70"/>
    <mergeCell ref="J70:L70"/>
    <mergeCell ref="M70:O70"/>
    <mergeCell ref="P70:T70"/>
    <mergeCell ref="U70:W70"/>
    <mergeCell ref="A71:H71"/>
    <mergeCell ref="J71:L71"/>
    <mergeCell ref="M71:O71"/>
    <mergeCell ref="P71:T71"/>
    <mergeCell ref="U75:W75"/>
    <mergeCell ref="A72:H72"/>
    <mergeCell ref="J72:L72"/>
    <mergeCell ref="M72:O72"/>
    <mergeCell ref="P72:T72"/>
    <mergeCell ref="U72:W72"/>
    <mergeCell ref="A73:H73"/>
    <mergeCell ref="J73:L73"/>
    <mergeCell ref="M73:O73"/>
    <mergeCell ref="P73:T73"/>
    <mergeCell ref="U77:W77"/>
    <mergeCell ref="A74:H74"/>
    <mergeCell ref="J74:L74"/>
    <mergeCell ref="M74:O74"/>
    <mergeCell ref="P74:T74"/>
    <mergeCell ref="U74:W74"/>
    <mergeCell ref="A75:H75"/>
    <mergeCell ref="J75:L75"/>
    <mergeCell ref="M75:O75"/>
    <mergeCell ref="P75:T75"/>
    <mergeCell ref="U79:W79"/>
    <mergeCell ref="A76:H76"/>
    <mergeCell ref="J76:L76"/>
    <mergeCell ref="M76:O76"/>
    <mergeCell ref="P76:T76"/>
    <mergeCell ref="U76:W76"/>
    <mergeCell ref="A77:H77"/>
    <mergeCell ref="J77:L77"/>
    <mergeCell ref="M77:O77"/>
    <mergeCell ref="P77:T77"/>
    <mergeCell ref="J81:L81"/>
    <mergeCell ref="A78:H78"/>
    <mergeCell ref="J78:L78"/>
    <mergeCell ref="M78:O78"/>
    <mergeCell ref="P78:T78"/>
    <mergeCell ref="U78:W78"/>
    <mergeCell ref="A79:H79"/>
    <mergeCell ref="J79:L79"/>
    <mergeCell ref="M79:O79"/>
    <mergeCell ref="P79:T79"/>
    <mergeCell ref="A84:H84"/>
    <mergeCell ref="A80:H80"/>
    <mergeCell ref="J80:L80"/>
    <mergeCell ref="M80:O80"/>
    <mergeCell ref="P80:T80"/>
    <mergeCell ref="U80:W80"/>
    <mergeCell ref="N84:P84"/>
    <mergeCell ref="Q84:U84"/>
    <mergeCell ref="V84:W84"/>
    <mergeCell ref="A81:H81"/>
    <mergeCell ref="A85:H85"/>
    <mergeCell ref="M81:O81"/>
    <mergeCell ref="P81:T81"/>
    <mergeCell ref="U81:W81"/>
    <mergeCell ref="I85:K85"/>
    <mergeCell ref="L85:M85"/>
    <mergeCell ref="N85:P85"/>
    <mergeCell ref="Q85:U85"/>
    <mergeCell ref="A82:W82"/>
    <mergeCell ref="A83:W83"/>
    <mergeCell ref="A86:H86"/>
    <mergeCell ref="I86:K86"/>
    <mergeCell ref="L86:M86"/>
    <mergeCell ref="N86:P86"/>
    <mergeCell ref="Q86:U86"/>
    <mergeCell ref="V86:W86"/>
    <mergeCell ref="L87:M87"/>
    <mergeCell ref="N87:P87"/>
    <mergeCell ref="Q87:U87"/>
    <mergeCell ref="I84:K84"/>
    <mergeCell ref="L84:M84"/>
    <mergeCell ref="V85:W85"/>
    <mergeCell ref="V87:W87"/>
    <mergeCell ref="A88:H88"/>
    <mergeCell ref="I88:K88"/>
    <mergeCell ref="L88:M88"/>
    <mergeCell ref="N88:P88"/>
    <mergeCell ref="V89:W89"/>
    <mergeCell ref="Q88:U88"/>
    <mergeCell ref="V88:W88"/>
    <mergeCell ref="A87:H87"/>
    <mergeCell ref="I87:K87"/>
    <mergeCell ref="L90:M90"/>
    <mergeCell ref="N90:P90"/>
    <mergeCell ref="Q90:U90"/>
    <mergeCell ref="V90:W90"/>
    <mergeCell ref="I89:K89"/>
    <mergeCell ref="L89:M89"/>
    <mergeCell ref="N89:P89"/>
    <mergeCell ref="Q89:U89"/>
    <mergeCell ref="A89:H89"/>
    <mergeCell ref="Q92:U92"/>
    <mergeCell ref="V92:W92"/>
    <mergeCell ref="A91:H91"/>
    <mergeCell ref="I91:K91"/>
    <mergeCell ref="L91:M91"/>
    <mergeCell ref="N91:P91"/>
    <mergeCell ref="Q91:U91"/>
    <mergeCell ref="A90:H90"/>
    <mergeCell ref="I90:K90"/>
    <mergeCell ref="V91:W91"/>
    <mergeCell ref="A92:H92"/>
    <mergeCell ref="I92:K92"/>
    <mergeCell ref="L92:M92"/>
    <mergeCell ref="N92:P92"/>
    <mergeCell ref="V93:W93"/>
    <mergeCell ref="L94:M94"/>
    <mergeCell ref="N94:P94"/>
    <mergeCell ref="Q94:U94"/>
    <mergeCell ref="V94:W94"/>
    <mergeCell ref="I93:K93"/>
    <mergeCell ref="L93:M93"/>
    <mergeCell ref="N93:P93"/>
    <mergeCell ref="Q93:U93"/>
    <mergeCell ref="A93:H93"/>
    <mergeCell ref="Q96:U96"/>
    <mergeCell ref="V96:W96"/>
    <mergeCell ref="A95:H95"/>
    <mergeCell ref="I95:K95"/>
    <mergeCell ref="L95:M95"/>
    <mergeCell ref="N95:P95"/>
    <mergeCell ref="Q95:U95"/>
    <mergeCell ref="A94:H94"/>
    <mergeCell ref="I94:K94"/>
    <mergeCell ref="V95:W95"/>
    <mergeCell ref="A96:H96"/>
    <mergeCell ref="I96:K96"/>
    <mergeCell ref="L96:M96"/>
    <mergeCell ref="N96:P96"/>
    <mergeCell ref="V97:W97"/>
    <mergeCell ref="L98:M98"/>
    <mergeCell ref="N98:P98"/>
    <mergeCell ref="Q98:U98"/>
    <mergeCell ref="V98:W98"/>
    <mergeCell ref="I97:K97"/>
    <mergeCell ref="L97:M97"/>
    <mergeCell ref="N97:P97"/>
    <mergeCell ref="Q97:U97"/>
    <mergeCell ref="A97:H97"/>
    <mergeCell ref="Q100:U100"/>
    <mergeCell ref="V100:W100"/>
    <mergeCell ref="A99:H99"/>
    <mergeCell ref="I99:K99"/>
    <mergeCell ref="L99:M99"/>
    <mergeCell ref="N99:P99"/>
    <mergeCell ref="Q99:U99"/>
    <mergeCell ref="A98:H98"/>
    <mergeCell ref="I98:K98"/>
    <mergeCell ref="V99:W99"/>
    <mergeCell ref="A100:H100"/>
    <mergeCell ref="I100:K100"/>
    <mergeCell ref="L100:M100"/>
    <mergeCell ref="N100:P100"/>
    <mergeCell ref="V101:W101"/>
    <mergeCell ref="L102:M102"/>
    <mergeCell ref="N102:P102"/>
    <mergeCell ref="Q102:U102"/>
    <mergeCell ref="V102:W102"/>
    <mergeCell ref="I101:K101"/>
    <mergeCell ref="L101:M101"/>
    <mergeCell ref="N101:P101"/>
    <mergeCell ref="Q101:U101"/>
    <mergeCell ref="A101:H101"/>
    <mergeCell ref="Q104:U104"/>
    <mergeCell ref="V104:W104"/>
    <mergeCell ref="A103:H103"/>
    <mergeCell ref="I103:K103"/>
    <mergeCell ref="L103:M103"/>
    <mergeCell ref="N103:P103"/>
    <mergeCell ref="Q103:U103"/>
    <mergeCell ref="A102:H102"/>
    <mergeCell ref="I102:K102"/>
    <mergeCell ref="V103:W103"/>
    <mergeCell ref="A104:H104"/>
    <mergeCell ref="I104:K104"/>
    <mergeCell ref="L104:M104"/>
    <mergeCell ref="N104:P104"/>
    <mergeCell ref="V105:W105"/>
    <mergeCell ref="L106:M106"/>
    <mergeCell ref="N106:P106"/>
    <mergeCell ref="Q106:U106"/>
    <mergeCell ref="V106:W106"/>
    <mergeCell ref="I105:K105"/>
    <mergeCell ref="L105:M105"/>
    <mergeCell ref="N105:P105"/>
    <mergeCell ref="Q105:U105"/>
    <mergeCell ref="A105:H105"/>
    <mergeCell ref="Q108:U108"/>
    <mergeCell ref="V108:W108"/>
    <mergeCell ref="A107:H107"/>
    <mergeCell ref="I107:K107"/>
    <mergeCell ref="L107:M107"/>
    <mergeCell ref="N107:P107"/>
    <mergeCell ref="Q107:U107"/>
    <mergeCell ref="A106:H106"/>
    <mergeCell ref="I106:K106"/>
    <mergeCell ref="V107:W107"/>
    <mergeCell ref="A108:H108"/>
    <mergeCell ref="I108:K108"/>
    <mergeCell ref="L108:M108"/>
    <mergeCell ref="N108:P108"/>
    <mergeCell ref="V109:W109"/>
    <mergeCell ref="L110:M110"/>
    <mergeCell ref="N110:P110"/>
    <mergeCell ref="Q110:U110"/>
    <mergeCell ref="V110:W110"/>
    <mergeCell ref="I109:K109"/>
    <mergeCell ref="L109:M109"/>
    <mergeCell ref="N109:P109"/>
    <mergeCell ref="Q109:U109"/>
    <mergeCell ref="A109:H109"/>
    <mergeCell ref="Q112:U112"/>
    <mergeCell ref="V112:W112"/>
    <mergeCell ref="A111:H111"/>
    <mergeCell ref="I111:K111"/>
    <mergeCell ref="L111:M111"/>
    <mergeCell ref="N111:P111"/>
    <mergeCell ref="Q111:U111"/>
    <mergeCell ref="A110:H110"/>
    <mergeCell ref="I110:K110"/>
    <mergeCell ref="V111:W111"/>
    <mergeCell ref="A112:H112"/>
    <mergeCell ref="I112:K112"/>
    <mergeCell ref="L112:M112"/>
    <mergeCell ref="N112:P112"/>
    <mergeCell ref="V113:W113"/>
    <mergeCell ref="L114:M114"/>
    <mergeCell ref="N114:P114"/>
    <mergeCell ref="Q114:U114"/>
    <mergeCell ref="V114:W114"/>
    <mergeCell ref="I113:K113"/>
    <mergeCell ref="L113:M113"/>
    <mergeCell ref="N113:P113"/>
    <mergeCell ref="Q113:U113"/>
    <mergeCell ref="A113:H113"/>
    <mergeCell ref="Q116:U116"/>
    <mergeCell ref="V116:W116"/>
    <mergeCell ref="A115:H115"/>
    <mergeCell ref="I115:K115"/>
    <mergeCell ref="L115:M115"/>
    <mergeCell ref="N115:P115"/>
    <mergeCell ref="Q115:U115"/>
    <mergeCell ref="A114:H114"/>
    <mergeCell ref="I114:K114"/>
    <mergeCell ref="V115:W115"/>
    <mergeCell ref="A116:H116"/>
    <mergeCell ref="I116:K116"/>
    <mergeCell ref="L116:M116"/>
    <mergeCell ref="N116:P116"/>
    <mergeCell ref="V117:W117"/>
    <mergeCell ref="L118:M118"/>
    <mergeCell ref="N118:P118"/>
    <mergeCell ref="Q118:U118"/>
    <mergeCell ref="V118:W118"/>
    <mergeCell ref="I117:K117"/>
    <mergeCell ref="L117:M117"/>
    <mergeCell ref="N117:P117"/>
    <mergeCell ref="Q117:U117"/>
    <mergeCell ref="A117:H117"/>
    <mergeCell ref="Q120:U120"/>
    <mergeCell ref="V120:W120"/>
    <mergeCell ref="A119:H119"/>
    <mergeCell ref="I119:K119"/>
    <mergeCell ref="L119:M119"/>
    <mergeCell ref="N119:P119"/>
    <mergeCell ref="Q119:U119"/>
    <mergeCell ref="A118:H118"/>
    <mergeCell ref="I118:K118"/>
    <mergeCell ref="V119:W119"/>
    <mergeCell ref="A120:H120"/>
    <mergeCell ref="I120:K120"/>
    <mergeCell ref="L120:M120"/>
    <mergeCell ref="N120:P120"/>
    <mergeCell ref="V121:W121"/>
    <mergeCell ref="L122:M122"/>
    <mergeCell ref="N122:P122"/>
    <mergeCell ref="Q122:U122"/>
    <mergeCell ref="V122:W122"/>
    <mergeCell ref="I121:K121"/>
    <mergeCell ref="L121:M121"/>
    <mergeCell ref="N121:P121"/>
    <mergeCell ref="Q121:U121"/>
    <mergeCell ref="A121:H121"/>
    <mergeCell ref="Q124:U124"/>
    <mergeCell ref="V124:W124"/>
    <mergeCell ref="A123:H123"/>
    <mergeCell ref="I123:K123"/>
    <mergeCell ref="L123:M123"/>
    <mergeCell ref="N123:P123"/>
    <mergeCell ref="Q123:U123"/>
    <mergeCell ref="A122:H122"/>
    <mergeCell ref="I122:K122"/>
    <mergeCell ref="V123:W123"/>
    <mergeCell ref="A124:H124"/>
    <mergeCell ref="I124:K124"/>
    <mergeCell ref="L124:M124"/>
    <mergeCell ref="N124:P124"/>
    <mergeCell ref="V125:W125"/>
    <mergeCell ref="L126:M126"/>
    <mergeCell ref="N126:P126"/>
    <mergeCell ref="Q126:U126"/>
    <mergeCell ref="V126:W126"/>
    <mergeCell ref="I125:K125"/>
    <mergeCell ref="L125:M125"/>
    <mergeCell ref="N125:P125"/>
    <mergeCell ref="Q125:U125"/>
    <mergeCell ref="A125:H125"/>
    <mergeCell ref="Q128:U128"/>
    <mergeCell ref="V128:W128"/>
    <mergeCell ref="A127:H127"/>
    <mergeCell ref="I127:K127"/>
    <mergeCell ref="L127:M127"/>
    <mergeCell ref="N127:P127"/>
    <mergeCell ref="Q127:U127"/>
    <mergeCell ref="A126:H126"/>
    <mergeCell ref="I126:K126"/>
    <mergeCell ref="V127:W127"/>
    <mergeCell ref="A128:H128"/>
    <mergeCell ref="I128:K128"/>
    <mergeCell ref="L128:M128"/>
    <mergeCell ref="N128:P128"/>
    <mergeCell ref="V129:W129"/>
    <mergeCell ref="L130:M130"/>
    <mergeCell ref="N130:P130"/>
    <mergeCell ref="Q130:U130"/>
    <mergeCell ref="V130:W130"/>
    <mergeCell ref="I129:K129"/>
    <mergeCell ref="L129:M129"/>
    <mergeCell ref="N129:P129"/>
    <mergeCell ref="Q129:U129"/>
    <mergeCell ref="A129:H129"/>
    <mergeCell ref="Q132:U132"/>
    <mergeCell ref="V132:W132"/>
    <mergeCell ref="A131:H131"/>
    <mergeCell ref="I131:K131"/>
    <mergeCell ref="L131:M131"/>
    <mergeCell ref="N131:P131"/>
    <mergeCell ref="Q131:U131"/>
    <mergeCell ref="A130:H130"/>
    <mergeCell ref="I130:K130"/>
    <mergeCell ref="V131:W131"/>
    <mergeCell ref="A132:H132"/>
    <mergeCell ref="I132:K132"/>
    <mergeCell ref="L132:M132"/>
    <mergeCell ref="N132:P132"/>
    <mergeCell ref="V133:W133"/>
    <mergeCell ref="L134:M134"/>
    <mergeCell ref="N134:P134"/>
    <mergeCell ref="Q134:U134"/>
    <mergeCell ref="V134:W134"/>
    <mergeCell ref="I133:K133"/>
    <mergeCell ref="L133:M133"/>
    <mergeCell ref="N133:P133"/>
    <mergeCell ref="Q133:U133"/>
    <mergeCell ref="A133:H133"/>
    <mergeCell ref="Q136:U136"/>
    <mergeCell ref="V136:W136"/>
    <mergeCell ref="A135:H135"/>
    <mergeCell ref="I135:K135"/>
    <mergeCell ref="L135:M135"/>
    <mergeCell ref="N135:P135"/>
    <mergeCell ref="Q135:U135"/>
    <mergeCell ref="A134:H134"/>
    <mergeCell ref="I134:K134"/>
    <mergeCell ref="V135:W135"/>
    <mergeCell ref="A136:H136"/>
    <mergeCell ref="I136:K136"/>
    <mergeCell ref="L136:M136"/>
    <mergeCell ref="N136:P136"/>
    <mergeCell ref="V137:W137"/>
    <mergeCell ref="L138:M138"/>
    <mergeCell ref="N138:P138"/>
    <mergeCell ref="Q138:U138"/>
    <mergeCell ref="V138:W138"/>
    <mergeCell ref="I137:K137"/>
    <mergeCell ref="L137:M137"/>
    <mergeCell ref="N137:P137"/>
    <mergeCell ref="Q137:U137"/>
    <mergeCell ref="A137:H137"/>
    <mergeCell ref="Q140:U140"/>
    <mergeCell ref="V140:W140"/>
    <mergeCell ref="A139:H139"/>
    <mergeCell ref="I139:K139"/>
    <mergeCell ref="L139:M139"/>
    <mergeCell ref="N139:P139"/>
    <mergeCell ref="Q139:U139"/>
    <mergeCell ref="A138:H138"/>
    <mergeCell ref="I138:K138"/>
    <mergeCell ref="V139:W139"/>
    <mergeCell ref="A140:H140"/>
    <mergeCell ref="I140:K140"/>
    <mergeCell ref="L140:M140"/>
    <mergeCell ref="N140:P140"/>
    <mergeCell ref="V141:W141"/>
    <mergeCell ref="L142:M142"/>
    <mergeCell ref="N142:P142"/>
    <mergeCell ref="Q142:U142"/>
    <mergeCell ref="V142:W142"/>
    <mergeCell ref="I141:K141"/>
    <mergeCell ref="L141:M141"/>
    <mergeCell ref="N141:P141"/>
    <mergeCell ref="Q141:U141"/>
    <mergeCell ref="A141:H141"/>
    <mergeCell ref="Q144:U144"/>
    <mergeCell ref="V144:W144"/>
    <mergeCell ref="A143:H143"/>
    <mergeCell ref="I143:K143"/>
    <mergeCell ref="L143:M143"/>
    <mergeCell ref="N143:P143"/>
    <mergeCell ref="Q143:U143"/>
    <mergeCell ref="A142:H142"/>
    <mergeCell ref="I142:K142"/>
    <mergeCell ref="V143:W143"/>
    <mergeCell ref="A144:H144"/>
    <mergeCell ref="I144:K144"/>
    <mergeCell ref="L144:M144"/>
    <mergeCell ref="N144:P144"/>
    <mergeCell ref="V145:W145"/>
    <mergeCell ref="L146:M146"/>
    <mergeCell ref="N146:P146"/>
    <mergeCell ref="Q146:U146"/>
    <mergeCell ref="V146:W146"/>
    <mergeCell ref="I145:K145"/>
    <mergeCell ref="L145:M145"/>
    <mergeCell ref="N145:P145"/>
    <mergeCell ref="Q145:U145"/>
    <mergeCell ref="A145:H145"/>
    <mergeCell ref="Q148:U148"/>
    <mergeCell ref="V148:W148"/>
    <mergeCell ref="A147:H147"/>
    <mergeCell ref="I147:K147"/>
    <mergeCell ref="L147:M147"/>
    <mergeCell ref="N147:P147"/>
    <mergeCell ref="Q147:U147"/>
    <mergeCell ref="A146:H146"/>
    <mergeCell ref="I146:K146"/>
    <mergeCell ref="V147:W147"/>
    <mergeCell ref="A148:H148"/>
    <mergeCell ref="I148:K148"/>
    <mergeCell ref="L148:M148"/>
    <mergeCell ref="N148:P148"/>
    <mergeCell ref="V149:W149"/>
    <mergeCell ref="L150:M150"/>
    <mergeCell ref="N150:P150"/>
    <mergeCell ref="Q150:U150"/>
    <mergeCell ref="V150:W150"/>
    <mergeCell ref="I149:K149"/>
    <mergeCell ref="L149:M149"/>
    <mergeCell ref="N149:P149"/>
    <mergeCell ref="Q149:U149"/>
    <mergeCell ref="A149:H149"/>
    <mergeCell ref="Q152:U152"/>
    <mergeCell ref="V152:W152"/>
    <mergeCell ref="A151:H151"/>
    <mergeCell ref="I151:K151"/>
    <mergeCell ref="L151:M151"/>
    <mergeCell ref="N151:P151"/>
    <mergeCell ref="Q151:U151"/>
    <mergeCell ref="A150:H150"/>
    <mergeCell ref="I150:K150"/>
    <mergeCell ref="V151:W151"/>
    <mergeCell ref="A152:H152"/>
    <mergeCell ref="I152:K152"/>
    <mergeCell ref="L152:M152"/>
    <mergeCell ref="N152:P152"/>
    <mergeCell ref="V153:W153"/>
    <mergeCell ref="L154:M154"/>
    <mergeCell ref="N154:P154"/>
    <mergeCell ref="Q154:U154"/>
    <mergeCell ref="V154:W154"/>
    <mergeCell ref="I153:K153"/>
    <mergeCell ref="L153:M153"/>
    <mergeCell ref="N153:P153"/>
    <mergeCell ref="Q153:U153"/>
    <mergeCell ref="A153:H153"/>
    <mergeCell ref="Q156:U156"/>
    <mergeCell ref="V156:W156"/>
    <mergeCell ref="A155:H155"/>
    <mergeCell ref="I155:K155"/>
    <mergeCell ref="L155:M155"/>
    <mergeCell ref="N155:P155"/>
    <mergeCell ref="Q155:U155"/>
    <mergeCell ref="A154:H154"/>
    <mergeCell ref="I154:K154"/>
    <mergeCell ref="V155:W155"/>
    <mergeCell ref="A156:H156"/>
    <mergeCell ref="I156:K156"/>
    <mergeCell ref="L156:M156"/>
    <mergeCell ref="N156:P156"/>
    <mergeCell ref="V157:W157"/>
    <mergeCell ref="L158:M158"/>
    <mergeCell ref="N158:P158"/>
    <mergeCell ref="Q158:U158"/>
    <mergeCell ref="V158:W158"/>
    <mergeCell ref="I157:K157"/>
    <mergeCell ref="L157:M157"/>
    <mergeCell ref="N157:P157"/>
    <mergeCell ref="Q157:U157"/>
    <mergeCell ref="A157:H157"/>
    <mergeCell ref="Q160:U160"/>
    <mergeCell ref="V160:W160"/>
    <mergeCell ref="A159:H159"/>
    <mergeCell ref="I159:K159"/>
    <mergeCell ref="L159:M159"/>
    <mergeCell ref="N159:P159"/>
    <mergeCell ref="Q159:U159"/>
    <mergeCell ref="A158:H158"/>
    <mergeCell ref="I158:K158"/>
    <mergeCell ref="V159:W159"/>
    <mergeCell ref="A160:H160"/>
    <mergeCell ref="I160:K160"/>
    <mergeCell ref="L160:M160"/>
    <mergeCell ref="N160:P160"/>
    <mergeCell ref="V161:W161"/>
    <mergeCell ref="L162:M162"/>
    <mergeCell ref="N162:P162"/>
    <mergeCell ref="Q162:U162"/>
    <mergeCell ref="V162:W162"/>
    <mergeCell ref="I161:K161"/>
    <mergeCell ref="L161:M161"/>
    <mergeCell ref="N161:P161"/>
    <mergeCell ref="Q161:U161"/>
    <mergeCell ref="A161:H161"/>
    <mergeCell ref="Q164:U164"/>
    <mergeCell ref="V164:W164"/>
    <mergeCell ref="A163:H163"/>
    <mergeCell ref="I163:K163"/>
    <mergeCell ref="L163:M163"/>
    <mergeCell ref="N163:P163"/>
    <mergeCell ref="Q163:U163"/>
    <mergeCell ref="A162:H162"/>
    <mergeCell ref="I162:K162"/>
    <mergeCell ref="V163:W163"/>
    <mergeCell ref="A164:H164"/>
    <mergeCell ref="I164:K164"/>
    <mergeCell ref="L164:M164"/>
    <mergeCell ref="N164:P164"/>
    <mergeCell ref="V165:W165"/>
    <mergeCell ref="L166:M166"/>
    <mergeCell ref="N166:P166"/>
    <mergeCell ref="Q166:U166"/>
    <mergeCell ref="V166:W166"/>
    <mergeCell ref="I165:K165"/>
    <mergeCell ref="L165:M165"/>
    <mergeCell ref="N165:P165"/>
    <mergeCell ref="Q165:U165"/>
    <mergeCell ref="A165:H165"/>
    <mergeCell ref="Q168:U168"/>
    <mergeCell ref="V168:W168"/>
    <mergeCell ref="A167:H167"/>
    <mergeCell ref="I167:K167"/>
    <mergeCell ref="L167:M167"/>
    <mergeCell ref="N167:P167"/>
    <mergeCell ref="Q167:U167"/>
    <mergeCell ref="A166:H166"/>
    <mergeCell ref="I166:K166"/>
    <mergeCell ref="V167:W167"/>
    <mergeCell ref="A168:H168"/>
    <mergeCell ref="I168:K168"/>
    <mergeCell ref="L168:M168"/>
    <mergeCell ref="N168:P168"/>
    <mergeCell ref="V169:W169"/>
    <mergeCell ref="L170:M170"/>
    <mergeCell ref="N170:P170"/>
    <mergeCell ref="Q170:U170"/>
    <mergeCell ref="V170:W170"/>
    <mergeCell ref="I169:K169"/>
    <mergeCell ref="L169:M169"/>
    <mergeCell ref="N169:P169"/>
    <mergeCell ref="Q169:U169"/>
    <mergeCell ref="A169:H169"/>
    <mergeCell ref="Q172:U172"/>
    <mergeCell ref="V172:W172"/>
    <mergeCell ref="A171:H171"/>
    <mergeCell ref="I171:K171"/>
    <mergeCell ref="L171:M171"/>
    <mergeCell ref="N171:P171"/>
    <mergeCell ref="Q171:U171"/>
    <mergeCell ref="A170:H170"/>
    <mergeCell ref="I170:K170"/>
    <mergeCell ref="V171:W171"/>
    <mergeCell ref="A172:H172"/>
    <mergeCell ref="I172:K172"/>
    <mergeCell ref="L172:M172"/>
    <mergeCell ref="N172:P172"/>
    <mergeCell ref="V173:W173"/>
    <mergeCell ref="L174:M174"/>
    <mergeCell ref="N174:P174"/>
    <mergeCell ref="Q174:U174"/>
    <mergeCell ref="V174:W174"/>
    <mergeCell ref="I173:K173"/>
    <mergeCell ref="L173:M173"/>
    <mergeCell ref="N173:P173"/>
    <mergeCell ref="Q173:U173"/>
    <mergeCell ref="A173:H173"/>
    <mergeCell ref="Q176:U176"/>
    <mergeCell ref="V176:W176"/>
    <mergeCell ref="A175:H175"/>
    <mergeCell ref="I175:K175"/>
    <mergeCell ref="L175:M175"/>
    <mergeCell ref="N175:P175"/>
    <mergeCell ref="Q175:U175"/>
    <mergeCell ref="A174:H174"/>
    <mergeCell ref="I174:K174"/>
    <mergeCell ref="V175:W175"/>
    <mergeCell ref="A176:H176"/>
    <mergeCell ref="I176:K176"/>
    <mergeCell ref="L176:M176"/>
    <mergeCell ref="N176:P176"/>
    <mergeCell ref="V177:W177"/>
    <mergeCell ref="L178:M178"/>
    <mergeCell ref="N178:P178"/>
    <mergeCell ref="Q178:U178"/>
    <mergeCell ref="V178:W178"/>
    <mergeCell ref="I177:K177"/>
    <mergeCell ref="L177:M177"/>
    <mergeCell ref="N177:P177"/>
    <mergeCell ref="Q177:U177"/>
    <mergeCell ref="A177:H177"/>
    <mergeCell ref="Q180:U180"/>
    <mergeCell ref="V180:W180"/>
    <mergeCell ref="A179:H179"/>
    <mergeCell ref="I179:K179"/>
    <mergeCell ref="L179:M179"/>
    <mergeCell ref="N179:P179"/>
    <mergeCell ref="Q179:U179"/>
    <mergeCell ref="A178:H178"/>
    <mergeCell ref="I178:K178"/>
    <mergeCell ref="V179:W179"/>
    <mergeCell ref="A180:H180"/>
    <mergeCell ref="I180:K180"/>
    <mergeCell ref="L180:M180"/>
    <mergeCell ref="N180:P180"/>
    <mergeCell ref="V181:W181"/>
    <mergeCell ref="L182:M182"/>
    <mergeCell ref="N182:P182"/>
    <mergeCell ref="Q182:U182"/>
    <mergeCell ref="V182:W182"/>
    <mergeCell ref="I181:K181"/>
    <mergeCell ref="L181:M181"/>
    <mergeCell ref="N181:P181"/>
    <mergeCell ref="Q181:U181"/>
    <mergeCell ref="A181:H181"/>
    <mergeCell ref="Q184:U184"/>
    <mergeCell ref="V184:W184"/>
    <mergeCell ref="A183:H183"/>
    <mergeCell ref="I183:K183"/>
    <mergeCell ref="L183:M183"/>
    <mergeCell ref="N183:P183"/>
    <mergeCell ref="Q183:U183"/>
    <mergeCell ref="A182:H182"/>
    <mergeCell ref="I182:K182"/>
    <mergeCell ref="V183:W183"/>
    <mergeCell ref="A184:H184"/>
    <mergeCell ref="I184:K184"/>
    <mergeCell ref="L184:M184"/>
    <mergeCell ref="N184:P184"/>
    <mergeCell ref="V185:W185"/>
    <mergeCell ref="L186:M186"/>
    <mergeCell ref="N186:P186"/>
    <mergeCell ref="Q186:U186"/>
    <mergeCell ref="V186:W186"/>
    <mergeCell ref="I185:K185"/>
    <mergeCell ref="L185:M185"/>
    <mergeCell ref="N185:P185"/>
    <mergeCell ref="Q185:U185"/>
    <mergeCell ref="A185:H185"/>
    <mergeCell ref="Q188:U188"/>
    <mergeCell ref="V188:W188"/>
    <mergeCell ref="A187:H187"/>
    <mergeCell ref="I187:K187"/>
    <mergeCell ref="L187:M187"/>
    <mergeCell ref="N187:P187"/>
    <mergeCell ref="Q187:U187"/>
    <mergeCell ref="A186:H186"/>
    <mergeCell ref="I186:K186"/>
    <mergeCell ref="V187:W187"/>
    <mergeCell ref="A188:H188"/>
    <mergeCell ref="I188:K188"/>
    <mergeCell ref="L188:M188"/>
    <mergeCell ref="N188:P188"/>
    <mergeCell ref="V189:W189"/>
    <mergeCell ref="L190:M190"/>
    <mergeCell ref="N190:P190"/>
    <mergeCell ref="Q190:U190"/>
    <mergeCell ref="V190:W190"/>
    <mergeCell ref="I189:K189"/>
    <mergeCell ref="L189:M189"/>
    <mergeCell ref="N189:P189"/>
    <mergeCell ref="Q189:U189"/>
    <mergeCell ref="A189:H189"/>
    <mergeCell ref="Q192:U192"/>
    <mergeCell ref="V192:W192"/>
    <mergeCell ref="A191:H191"/>
    <mergeCell ref="I191:K191"/>
    <mergeCell ref="L191:M191"/>
    <mergeCell ref="N191:P191"/>
    <mergeCell ref="Q191:U191"/>
    <mergeCell ref="A190:H190"/>
    <mergeCell ref="I190:K190"/>
    <mergeCell ref="V191:W191"/>
    <mergeCell ref="A192:H192"/>
    <mergeCell ref="I192:K192"/>
    <mergeCell ref="L192:M192"/>
    <mergeCell ref="N192:P192"/>
    <mergeCell ref="V193:W193"/>
    <mergeCell ref="L194:M194"/>
    <mergeCell ref="N194:P194"/>
    <mergeCell ref="Q194:U194"/>
    <mergeCell ref="V194:W194"/>
    <mergeCell ref="I193:K193"/>
    <mergeCell ref="L193:M193"/>
    <mergeCell ref="N193:P193"/>
    <mergeCell ref="Q193:U193"/>
    <mergeCell ref="A193:H193"/>
    <mergeCell ref="Q196:U196"/>
    <mergeCell ref="V196:W196"/>
    <mergeCell ref="A195:H195"/>
    <mergeCell ref="I195:K195"/>
    <mergeCell ref="L195:M195"/>
    <mergeCell ref="N195:P195"/>
    <mergeCell ref="Q195:U195"/>
    <mergeCell ref="A194:H194"/>
    <mergeCell ref="I194:K194"/>
    <mergeCell ref="V195:W195"/>
    <mergeCell ref="A196:H196"/>
    <mergeCell ref="I196:K196"/>
    <mergeCell ref="L196:M196"/>
    <mergeCell ref="N196:P196"/>
    <mergeCell ref="V197:W197"/>
    <mergeCell ref="L198:M198"/>
    <mergeCell ref="N198:P198"/>
    <mergeCell ref="Q198:U198"/>
    <mergeCell ref="V198:W198"/>
    <mergeCell ref="I197:K197"/>
    <mergeCell ref="L197:M197"/>
    <mergeCell ref="N197:P197"/>
    <mergeCell ref="Q197:U197"/>
    <mergeCell ref="A197:H197"/>
    <mergeCell ref="Q200:U200"/>
    <mergeCell ref="V200:W200"/>
    <mergeCell ref="A199:H199"/>
    <mergeCell ref="I199:K199"/>
    <mergeCell ref="L199:M199"/>
    <mergeCell ref="N199:P199"/>
    <mergeCell ref="Q199:U199"/>
    <mergeCell ref="A198:H198"/>
    <mergeCell ref="I198:K198"/>
    <mergeCell ref="V199:W199"/>
    <mergeCell ref="A200:H200"/>
    <mergeCell ref="I200:K200"/>
    <mergeCell ref="L200:M200"/>
    <mergeCell ref="N200:P200"/>
    <mergeCell ref="V201:W201"/>
    <mergeCell ref="L202:M202"/>
    <mergeCell ref="N202:P202"/>
    <mergeCell ref="Q202:U202"/>
    <mergeCell ref="V202:W202"/>
    <mergeCell ref="I201:K201"/>
    <mergeCell ref="L201:M201"/>
    <mergeCell ref="N201:P201"/>
    <mergeCell ref="Q201:U201"/>
    <mergeCell ref="A201:H201"/>
    <mergeCell ref="Q204:U204"/>
    <mergeCell ref="V204:W204"/>
    <mergeCell ref="A203:H203"/>
    <mergeCell ref="I203:K203"/>
    <mergeCell ref="L203:M203"/>
    <mergeCell ref="N203:P203"/>
    <mergeCell ref="Q203:U203"/>
    <mergeCell ref="A202:H202"/>
    <mergeCell ref="I202:K202"/>
    <mergeCell ref="V203:W203"/>
    <mergeCell ref="A204:H204"/>
    <mergeCell ref="I204:K204"/>
    <mergeCell ref="L204:M204"/>
    <mergeCell ref="N204:P204"/>
    <mergeCell ref="V205:W205"/>
    <mergeCell ref="L206:M206"/>
    <mergeCell ref="N206:P206"/>
    <mergeCell ref="Q206:U206"/>
    <mergeCell ref="V206:W206"/>
    <mergeCell ref="I205:K205"/>
    <mergeCell ref="L205:M205"/>
    <mergeCell ref="N205:P205"/>
    <mergeCell ref="Q205:U205"/>
    <mergeCell ref="A205:H205"/>
    <mergeCell ref="Q208:U208"/>
    <mergeCell ref="V208:W208"/>
    <mergeCell ref="A207:H207"/>
    <mergeCell ref="I207:K207"/>
    <mergeCell ref="L207:M207"/>
    <mergeCell ref="N207:P207"/>
    <mergeCell ref="Q207:U207"/>
    <mergeCell ref="A206:H206"/>
    <mergeCell ref="I206:K206"/>
    <mergeCell ref="V207:W207"/>
    <mergeCell ref="A208:H208"/>
    <mergeCell ref="I208:K208"/>
    <mergeCell ref="L208:M208"/>
    <mergeCell ref="N208:P208"/>
    <mergeCell ref="V209:W209"/>
    <mergeCell ref="L210:M210"/>
    <mergeCell ref="N210:P210"/>
    <mergeCell ref="Q210:U210"/>
    <mergeCell ref="V210:W210"/>
    <mergeCell ref="I209:K209"/>
    <mergeCell ref="L209:M209"/>
    <mergeCell ref="N209:P209"/>
    <mergeCell ref="Q209:U209"/>
    <mergeCell ref="A209:H209"/>
    <mergeCell ref="Q212:U212"/>
    <mergeCell ref="V212:W212"/>
    <mergeCell ref="A211:H211"/>
    <mergeCell ref="I211:K211"/>
    <mergeCell ref="L211:M211"/>
    <mergeCell ref="N211:P211"/>
    <mergeCell ref="Q211:U211"/>
    <mergeCell ref="A210:H210"/>
    <mergeCell ref="I210:K210"/>
    <mergeCell ref="I213:K213"/>
    <mergeCell ref="L213:M213"/>
    <mergeCell ref="N213:P213"/>
    <mergeCell ref="Q213:U213"/>
    <mergeCell ref="V211:W211"/>
    <mergeCell ref="A212:H212"/>
    <mergeCell ref="I212:K212"/>
    <mergeCell ref="L212:M212"/>
    <mergeCell ref="N212:P212"/>
    <mergeCell ref="V213:W213"/>
    <mergeCell ref="U217:W217"/>
    <mergeCell ref="A214:H214"/>
    <mergeCell ref="I214:K214"/>
    <mergeCell ref="L214:M214"/>
    <mergeCell ref="N214:P214"/>
    <mergeCell ref="Q214:U214"/>
    <mergeCell ref="V214:W214"/>
    <mergeCell ref="M219:O219"/>
    <mergeCell ref="P219:T219"/>
    <mergeCell ref="U219:W219"/>
    <mergeCell ref="A213:H213"/>
    <mergeCell ref="A215:W215"/>
    <mergeCell ref="A216:W216"/>
    <mergeCell ref="A217:H217"/>
    <mergeCell ref="J217:L217"/>
    <mergeCell ref="M217:O217"/>
    <mergeCell ref="P217:T217"/>
    <mergeCell ref="M221:O221"/>
    <mergeCell ref="P221:T221"/>
    <mergeCell ref="U221:W221"/>
    <mergeCell ref="A218:H218"/>
    <mergeCell ref="J218:L218"/>
    <mergeCell ref="M218:O218"/>
    <mergeCell ref="P218:T218"/>
    <mergeCell ref="U218:W218"/>
    <mergeCell ref="A219:H219"/>
    <mergeCell ref="J219:L219"/>
    <mergeCell ref="M223:O223"/>
    <mergeCell ref="P223:T223"/>
    <mergeCell ref="U223:W223"/>
    <mergeCell ref="A220:H220"/>
    <mergeCell ref="J220:L220"/>
    <mergeCell ref="M220:O220"/>
    <mergeCell ref="P220:T220"/>
    <mergeCell ref="U220:W220"/>
    <mergeCell ref="A221:H221"/>
    <mergeCell ref="J221:L221"/>
    <mergeCell ref="M225:O225"/>
    <mergeCell ref="P225:T225"/>
    <mergeCell ref="U225:W225"/>
    <mergeCell ref="A222:H222"/>
    <mergeCell ref="J222:L222"/>
    <mergeCell ref="M222:O222"/>
    <mergeCell ref="P222:T222"/>
    <mergeCell ref="U222:W222"/>
    <mergeCell ref="A223:H223"/>
    <mergeCell ref="J223:L223"/>
    <mergeCell ref="M227:O227"/>
    <mergeCell ref="P227:T227"/>
    <mergeCell ref="U227:W227"/>
    <mergeCell ref="A224:H224"/>
    <mergeCell ref="J224:L224"/>
    <mergeCell ref="M224:O224"/>
    <mergeCell ref="P224:T224"/>
    <mergeCell ref="U224:W224"/>
    <mergeCell ref="A225:H225"/>
    <mergeCell ref="J225:L225"/>
    <mergeCell ref="M229:O229"/>
    <mergeCell ref="P229:T229"/>
    <mergeCell ref="U229:W229"/>
    <mergeCell ref="A226:H226"/>
    <mergeCell ref="J226:L226"/>
    <mergeCell ref="M226:O226"/>
    <mergeCell ref="P226:T226"/>
    <mergeCell ref="U226:W226"/>
    <mergeCell ref="A227:H227"/>
    <mergeCell ref="J227:L227"/>
    <mergeCell ref="N234:W234"/>
    <mergeCell ref="A231:H231"/>
    <mergeCell ref="J231:L231"/>
    <mergeCell ref="A228:H228"/>
    <mergeCell ref="J228:L228"/>
    <mergeCell ref="M228:O228"/>
    <mergeCell ref="P228:T228"/>
    <mergeCell ref="U228:W228"/>
    <mergeCell ref="A229:H229"/>
    <mergeCell ref="J229:L229"/>
    <mergeCell ref="A232:W232"/>
    <mergeCell ref="A233:E233"/>
    <mergeCell ref="F233:I233"/>
    <mergeCell ref="J233:N233"/>
    <mergeCell ref="A230:H230"/>
    <mergeCell ref="J230:L230"/>
    <mergeCell ref="M230:O230"/>
    <mergeCell ref="P230:T230"/>
    <mergeCell ref="U230:W230"/>
    <mergeCell ref="A240:W240"/>
    <mergeCell ref="A235:W235"/>
    <mergeCell ref="A236:E236"/>
    <mergeCell ref="F236:I236"/>
    <mergeCell ref="J236:N236"/>
    <mergeCell ref="M231:O231"/>
    <mergeCell ref="P231:T231"/>
    <mergeCell ref="U231:W231"/>
    <mergeCell ref="G237:H237"/>
    <mergeCell ref="K237:M237"/>
    <mergeCell ref="O236:W236"/>
    <mergeCell ref="A237:E237"/>
    <mergeCell ref="O233:W233"/>
    <mergeCell ref="A234:E234"/>
    <mergeCell ref="A238:W238"/>
    <mergeCell ref="A239:G239"/>
    <mergeCell ref="H239:W239"/>
    <mergeCell ref="N237:W237"/>
    <mergeCell ref="G234:H234"/>
    <mergeCell ref="K234:M234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82" max="16383" man="1"/>
    <brk id="2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2022-10-11T13:58:36Z</dcterms:created>
  <dcterms:modified xsi:type="dcterms:W3CDTF">2022-11-09T06:29:13Z</dcterms:modified>
</cp:coreProperties>
</file>