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155" windowHeight="6720"/>
  </bookViews>
  <sheets>
    <sheet name="МТЗ" sheetId="1" r:id="rId1"/>
    <sheet name="ЮМЗ" sheetId="2" r:id="rId2"/>
    <sheet name="обрезка" sheetId="3" r:id="rId3"/>
    <sheet name="покос" sheetId="4" r:id="rId4"/>
    <sheet name="уборка" sheetId="5" r:id="rId5"/>
  </sheets>
  <calcPr calcId="145621" iterateDelta="1E-4"/>
</workbook>
</file>

<file path=xl/calcChain.xml><?xml version="1.0" encoding="utf-8"?>
<calcChain xmlns="http://schemas.openxmlformats.org/spreadsheetml/2006/main">
  <c r="B26" i="4" l="1"/>
  <c r="D19" i="4"/>
  <c r="D18" i="3"/>
  <c r="D18" i="2"/>
  <c r="B28" i="2"/>
  <c r="B29" i="1"/>
  <c r="G26" i="1"/>
  <c r="F24" i="1"/>
  <c r="G23" i="1"/>
  <c r="D20" i="1"/>
  <c r="D18" i="1"/>
  <c r="F25" i="1"/>
  <c r="G23" i="2"/>
  <c r="F25" i="2"/>
  <c r="B25" i="3"/>
  <c r="E24" i="4"/>
  <c r="D21" i="4"/>
  <c r="D20" i="2"/>
  <c r="F24" i="2"/>
  <c r="D20" i="3"/>
  <c r="E23" i="3"/>
  <c r="F13" i="5" l="1"/>
  <c r="N16" i="5" s="1"/>
  <c r="N17" i="5" s="1"/>
  <c r="N18" i="5" l="1"/>
  <c r="N19" i="5" l="1"/>
  <c r="N21" i="5"/>
  <c r="N20" i="5"/>
  <c r="F13" i="4"/>
  <c r="N16" i="4" s="1"/>
  <c r="N18" i="3"/>
  <c r="F12" i="3"/>
  <c r="N16" i="3" s="1"/>
  <c r="N17" i="3" s="1"/>
  <c r="N16" i="2"/>
  <c r="N17" i="2" s="1"/>
  <c r="N17" i="1"/>
  <c r="N16" i="1"/>
  <c r="N22" i="5" l="1"/>
  <c r="N17" i="4"/>
  <c r="N19" i="3"/>
  <c r="N22" i="3" s="1"/>
  <c r="N20" i="3" l="1"/>
  <c r="N21" i="3"/>
  <c r="N18" i="4"/>
  <c r="N19" i="4" s="1"/>
  <c r="N18" i="2"/>
  <c r="N19" i="2" s="1"/>
  <c r="N21" i="2" s="1"/>
  <c r="N23" i="3" l="1"/>
  <c r="N21" i="4"/>
  <c r="N20" i="4"/>
  <c r="N22" i="4"/>
  <c r="N20" i="2"/>
  <c r="N23" i="2"/>
  <c r="N22" i="2"/>
  <c r="N24" i="2" l="1"/>
  <c r="N23" i="4"/>
  <c r="N18" i="1"/>
  <c r="N19" i="1" l="1"/>
  <c r="N23" i="1" s="1"/>
  <c r="N22" i="1" l="1"/>
  <c r="N20" i="1"/>
  <c r="N21" i="1"/>
  <c r="N24" i="1" l="1"/>
</calcChain>
</file>

<file path=xl/sharedStrings.xml><?xml version="1.0" encoding="utf-8"?>
<sst xmlns="http://schemas.openxmlformats.org/spreadsheetml/2006/main" count="182" uniqueCount="65">
  <si>
    <t>Затраты на содержание и эксплуатацию трактора МТЗ 82.1</t>
  </si>
  <si>
    <t>УТВЕРЖДАЮ:</t>
  </si>
  <si>
    <t>Директор МП «Рембытстрой»</t>
  </si>
  <si>
    <t xml:space="preserve"> ________________А.А. Судьев</t>
  </si>
  <si>
    <t>руб.</t>
  </si>
  <si>
    <t>Итого:</t>
  </si>
  <si>
    <t>(согласно штатного расписания)</t>
  </si>
  <si>
    <t>№пп</t>
  </si>
  <si>
    <t>Статьи затрат</t>
  </si>
  <si>
    <t>Сумма, руб</t>
  </si>
  <si>
    <t>Заработная плата тракториста</t>
  </si>
  <si>
    <t>Начисления на заработную плату (30,5%)</t>
  </si>
  <si>
    <t>Содержание и эксплуатация транспорта</t>
  </si>
  <si>
    <t>Итого</t>
  </si>
  <si>
    <t>Затраты на содержание и эксплуатацию экскаватора ЮМЗ 6.40/2</t>
  </si>
  <si>
    <t>Содержание и эксплуатация оборудования</t>
  </si>
  <si>
    <t xml:space="preserve">Расшифровка затрат по покосу травы мотокосой </t>
  </si>
  <si>
    <t>УСН (15%)</t>
  </si>
  <si>
    <t>Общехозяйственные расходы 10%</t>
  </si>
  <si>
    <t>Рентабельность 10%</t>
  </si>
  <si>
    <t>Расшифровка затрат по состоянию на 01.08.2022 года:</t>
  </si>
  <si>
    <t>Калькуляция себестоимости 1 часа работы</t>
  </si>
  <si>
    <t>трактора МТЗ 82.1 по состоянию на 01.08.2022 года.</t>
  </si>
  <si>
    <t>"_____"____________ 2022 год</t>
  </si>
  <si>
    <t>экскаватора ЮМЗ 6.40/2 по состоянию на 01.08.2022 года.</t>
  </si>
  <si>
    <t>бензопилой по состоянию на 01.08.2022 года.</t>
  </si>
  <si>
    <t>(согласно штатного расписания 16 042,95 руб : 20 дн : 8 ч.)</t>
  </si>
  <si>
    <t>по состоянию на 01.08.2022 года:</t>
  </si>
  <si>
    <t>мотокосой по состоянию на 01.08.2022 года.</t>
  </si>
  <si>
    <t>(на 1 л бензина расход 50 гр масла)</t>
  </si>
  <si>
    <t>(расход на 1 час леска 1 метр)</t>
  </si>
  <si>
    <t>Расшифровка затрат по уборке территории</t>
  </si>
  <si>
    <t>по уборке территории по состоянию на 01.08.2022 года.</t>
  </si>
  <si>
    <t>Заработная плата уборщика территории</t>
  </si>
  <si>
    <t>Заработная плата уборщика территории 1 ч</t>
  </si>
  <si>
    <t xml:space="preserve">Заработная плата тракториста 1 час </t>
  </si>
  <si>
    <t>(на 1 час 0,03 л моторного масла)</t>
  </si>
  <si>
    <t>(на 1 час 0,1 л гидравлического масла)</t>
  </si>
  <si>
    <t>(на 1 ч расход 0,03 л моторного масла)</t>
  </si>
  <si>
    <t>(на 1 ч расход 0,02 л гидравлического масла)</t>
  </si>
  <si>
    <t xml:space="preserve">Расход на 1 час : 0,75 л бензина АИ-92 </t>
  </si>
  <si>
    <t>(на 0,75 л бензина расход 38 гр масла)</t>
  </si>
  <si>
    <t>(масло для цепи расход 320 гр)</t>
  </si>
  <si>
    <t xml:space="preserve">Расход на 1 час 2,5 л дизтоплива: </t>
  </si>
  <si>
    <t>Расходы на ремонт:</t>
  </si>
  <si>
    <t xml:space="preserve">5 000 руб : 12 мес : 20 дн : 8 час = </t>
  </si>
  <si>
    <t>Расходы:</t>
  </si>
  <si>
    <t>Затраты на содержание и эксплуатацию бензопилы:</t>
  </si>
  <si>
    <t>Затраты на содержание и эксплуатацию мотокосы:</t>
  </si>
  <si>
    <t xml:space="preserve">Тосол: 2000 руб : 12 мес : 20 дн : 8 час = </t>
  </si>
  <si>
    <t>Накладные расходы 35%</t>
  </si>
  <si>
    <t xml:space="preserve">Расход на 1 час 1 л бензина АИ-92 </t>
  </si>
  <si>
    <t>1 м лески * 18 руб =</t>
  </si>
  <si>
    <t xml:space="preserve">22000 руб : 12 мес : 20 дн : 8 час = </t>
  </si>
  <si>
    <t xml:space="preserve">0,320 л масла * 300 руб = </t>
  </si>
  <si>
    <t>Мойка: 5л*900руб. :12 мес : 20 дн : 8 час =</t>
  </si>
  <si>
    <t xml:space="preserve">0,03 л масла * 400 руб = </t>
  </si>
  <si>
    <t xml:space="preserve">0,12 л масла * 250 руб = </t>
  </si>
  <si>
    <t xml:space="preserve">0,02 л масла * 250 руб = </t>
  </si>
  <si>
    <t xml:space="preserve">Зап. части: 70 000 руб : 12 мес : 20 дн : 8 час = </t>
  </si>
  <si>
    <t xml:space="preserve">Тосол: 4000 руб : 12 мес : 20 дн : 8 час = </t>
  </si>
  <si>
    <t xml:space="preserve">Смазочный материал: 2500 руб : 12 мес : 20 дн : 8 час = </t>
  </si>
  <si>
    <t xml:space="preserve">Зап. части: 60 000 руб : 12 мес : 20 дн : 8 час = </t>
  </si>
  <si>
    <t xml:space="preserve">0,038 л масла * 400 руб = </t>
  </si>
  <si>
    <t xml:space="preserve">0,05 л масла * 400 руб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</si>
</sst>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rgb="FF00000A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" xfId="0" applyNumberFormat="1" applyFont="1" applyFill="1" applyBorder="1"/>
    <xf numFmtId="4" fontId="2" fillId="0" borderId="4" xfId="0" applyNumberFormat="1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C6" sqref="C6"/>
    </sheetView>
  </sheetViews>
  <sheetFormatPr defaultRowHeight="18.75" x14ac:dyDescent="0.3"/>
  <cols>
    <col min="1" max="1" width="9.140625" style="3"/>
    <col min="2" max="2" width="9.140625" style="3" customWidth="1"/>
    <col min="3" max="3" width="12.85546875" style="3" customWidth="1"/>
    <col min="4" max="4" width="10.42578125" style="3" customWidth="1"/>
    <col min="5" max="5" width="9.140625" style="3"/>
    <col min="6" max="6" width="11.7109375" style="3" customWidth="1"/>
    <col min="7" max="7" width="9.140625" style="3"/>
    <col min="8" max="8" width="13.28515625" style="3" customWidth="1"/>
    <col min="9" max="9" width="7" style="3" customWidth="1"/>
    <col min="10" max="10" width="9.140625" style="3"/>
    <col min="11" max="11" width="12.140625" style="3" customWidth="1"/>
    <col min="12" max="12" width="9.140625" style="3"/>
    <col min="13" max="13" width="18.42578125" style="3" customWidth="1"/>
    <col min="14" max="14" width="16.140625" style="3" customWidth="1"/>
    <col min="15" max="15" width="13.28515625" style="3" customWidth="1"/>
    <col min="16" max="17" width="9.140625" style="3"/>
  </cols>
  <sheetData>
    <row r="1" spans="1:14" x14ac:dyDescent="0.3">
      <c r="E1" s="1" t="s">
        <v>1</v>
      </c>
      <c r="M1" s="1" t="s">
        <v>1</v>
      </c>
    </row>
    <row r="2" spans="1:14" x14ac:dyDescent="0.3">
      <c r="E2" s="1" t="s">
        <v>2</v>
      </c>
      <c r="M2" s="1" t="s">
        <v>2</v>
      </c>
    </row>
    <row r="3" spans="1:14" ht="31.5" customHeight="1" x14ac:dyDescent="0.3">
      <c r="E3" s="2" t="s">
        <v>3</v>
      </c>
      <c r="M3" s="2" t="s">
        <v>3</v>
      </c>
    </row>
    <row r="4" spans="1:14" ht="30" customHeight="1" x14ac:dyDescent="0.3">
      <c r="E4" s="3" t="s">
        <v>23</v>
      </c>
      <c r="M4" s="3" t="s">
        <v>23</v>
      </c>
    </row>
    <row r="10" spans="1:14" x14ac:dyDescent="0.3">
      <c r="A10" s="1" t="s">
        <v>20</v>
      </c>
      <c r="J10" s="3" t="s">
        <v>21</v>
      </c>
    </row>
    <row r="11" spans="1:14" x14ac:dyDescent="0.3">
      <c r="J11" s="3" t="s">
        <v>22</v>
      </c>
    </row>
    <row r="12" spans="1:14" x14ac:dyDescent="0.3">
      <c r="A12" s="2" t="s">
        <v>35</v>
      </c>
      <c r="F12" s="5">
        <v>152.81</v>
      </c>
      <c r="G12" s="3" t="s">
        <v>4</v>
      </c>
    </row>
    <row r="13" spans="1:14" x14ac:dyDescent="0.3">
      <c r="A13" s="2" t="s">
        <v>6</v>
      </c>
      <c r="F13" s="6"/>
    </row>
    <row r="15" spans="1:14" x14ac:dyDescent="0.3">
      <c r="A15" s="2" t="s">
        <v>0</v>
      </c>
      <c r="I15" s="7" t="s">
        <v>7</v>
      </c>
      <c r="J15" s="16" t="s">
        <v>8</v>
      </c>
      <c r="K15" s="17"/>
      <c r="L15" s="17"/>
      <c r="M15" s="18"/>
      <c r="N15" s="7" t="s">
        <v>9</v>
      </c>
    </row>
    <row r="16" spans="1:14" x14ac:dyDescent="0.3">
      <c r="A16" s="2" t="s">
        <v>43</v>
      </c>
      <c r="G16" s="11"/>
      <c r="I16" s="7">
        <v>1</v>
      </c>
      <c r="J16" s="19" t="s">
        <v>10</v>
      </c>
      <c r="K16" s="20"/>
      <c r="L16" s="20"/>
      <c r="M16" s="21"/>
      <c r="N16" s="8">
        <f>F12</f>
        <v>152.81</v>
      </c>
    </row>
    <row r="17" spans="1:14" x14ac:dyDescent="0.3">
      <c r="A17" s="1" t="s">
        <v>36</v>
      </c>
      <c r="I17" s="7">
        <v>2</v>
      </c>
      <c r="J17" s="19" t="s">
        <v>11</v>
      </c>
      <c r="K17" s="20"/>
      <c r="L17" s="20"/>
      <c r="M17" s="21"/>
      <c r="N17" s="8">
        <f>N16*30.5%</f>
        <v>46.607050000000001</v>
      </c>
    </row>
    <row r="18" spans="1:14" x14ac:dyDescent="0.3">
      <c r="A18" s="1" t="s">
        <v>56</v>
      </c>
      <c r="D18" s="28">
        <f>0.03*400</f>
        <v>12</v>
      </c>
      <c r="E18" s="3" t="s">
        <v>4</v>
      </c>
      <c r="I18" s="7">
        <v>3</v>
      </c>
      <c r="J18" s="19" t="s">
        <v>12</v>
      </c>
      <c r="K18" s="20"/>
      <c r="L18" s="20"/>
      <c r="M18" s="21"/>
      <c r="N18" s="8">
        <f>B29</f>
        <v>59.1875</v>
      </c>
    </row>
    <row r="19" spans="1:14" x14ac:dyDescent="0.3">
      <c r="A19" s="1" t="s">
        <v>37</v>
      </c>
      <c r="I19" s="7">
        <v>4</v>
      </c>
      <c r="J19" s="19" t="s">
        <v>5</v>
      </c>
      <c r="K19" s="20"/>
      <c r="L19" s="20"/>
      <c r="M19" s="21"/>
      <c r="N19" s="8">
        <f>SUM(N16:N18)</f>
        <v>258.60455000000002</v>
      </c>
    </row>
    <row r="20" spans="1:14" x14ac:dyDescent="0.3">
      <c r="A20" s="1" t="s">
        <v>58</v>
      </c>
      <c r="D20" s="4">
        <f>0.02*250</f>
        <v>5</v>
      </c>
      <c r="E20" s="3" t="s">
        <v>4</v>
      </c>
      <c r="I20" s="7">
        <v>5</v>
      </c>
      <c r="J20" s="19" t="s">
        <v>17</v>
      </c>
      <c r="K20" s="20"/>
      <c r="L20" s="20"/>
      <c r="M20" s="21"/>
      <c r="N20" s="8">
        <f>SUM(N19*15%)</f>
        <v>38.790682500000003</v>
      </c>
    </row>
    <row r="21" spans="1:14" x14ac:dyDescent="0.3">
      <c r="A21" s="1"/>
      <c r="D21" s="11"/>
      <c r="I21" s="7">
        <v>6</v>
      </c>
      <c r="J21" s="19" t="s">
        <v>50</v>
      </c>
      <c r="K21" s="20"/>
      <c r="L21" s="20"/>
      <c r="M21" s="21"/>
      <c r="N21" s="8">
        <f>SUM(N19*35%)</f>
        <v>90.511592500000006</v>
      </c>
    </row>
    <row r="22" spans="1:14" x14ac:dyDescent="0.3">
      <c r="A22" s="1" t="s">
        <v>46</v>
      </c>
      <c r="D22" s="11"/>
      <c r="I22" s="7">
        <v>7</v>
      </c>
      <c r="J22" s="19" t="s">
        <v>18</v>
      </c>
      <c r="K22" s="20"/>
      <c r="L22" s="20"/>
      <c r="M22" s="21"/>
      <c r="N22" s="8">
        <f>SUM(N19*10%)</f>
        <v>25.860455000000002</v>
      </c>
    </row>
    <row r="23" spans="1:14" x14ac:dyDescent="0.3">
      <c r="A23" s="1" t="s">
        <v>59</v>
      </c>
      <c r="D23" s="11"/>
      <c r="E23" s="11"/>
      <c r="F23" s="11"/>
      <c r="G23" s="4">
        <f>70000/12/20/8</f>
        <v>36.458333333333329</v>
      </c>
      <c r="I23" s="7">
        <v>8</v>
      </c>
      <c r="J23" s="19" t="s">
        <v>19</v>
      </c>
      <c r="K23" s="20"/>
      <c r="L23" s="20"/>
      <c r="M23" s="21"/>
      <c r="N23" s="8">
        <f>SUM(N19*10%)</f>
        <v>25.860455000000002</v>
      </c>
    </row>
    <row r="24" spans="1:14" x14ac:dyDescent="0.3">
      <c r="A24" s="1" t="s">
        <v>60</v>
      </c>
      <c r="D24" s="11"/>
      <c r="E24" s="11"/>
      <c r="F24" s="4">
        <f>4000/12/20/8</f>
        <v>2.083333333333333</v>
      </c>
      <c r="G24" s="6"/>
      <c r="I24" s="7"/>
      <c r="J24" s="22" t="s">
        <v>13</v>
      </c>
      <c r="K24" s="22"/>
      <c r="L24" s="22"/>
      <c r="M24" s="22"/>
      <c r="N24" s="8">
        <f>SUM(N19:N23)</f>
        <v>439.62773500000003</v>
      </c>
    </row>
    <row r="25" spans="1:14" x14ac:dyDescent="0.3">
      <c r="A25" s="1" t="s">
        <v>55</v>
      </c>
      <c r="D25" s="11"/>
      <c r="E25" s="11"/>
      <c r="F25" s="26">
        <f>900*5/12/20/8</f>
        <v>2.34375</v>
      </c>
      <c r="I25" s="9"/>
      <c r="J25" s="13"/>
      <c r="K25" s="13"/>
      <c r="L25" s="13"/>
      <c r="M25" s="13"/>
      <c r="N25" s="10"/>
    </row>
    <row r="26" spans="1:14" x14ac:dyDescent="0.3">
      <c r="A26" s="1" t="s">
        <v>61</v>
      </c>
      <c r="D26" s="11"/>
      <c r="E26" s="11"/>
      <c r="F26" s="11"/>
      <c r="G26" s="4">
        <f>2500/12/20/8</f>
        <v>1.3020833333333335</v>
      </c>
      <c r="I26" s="9"/>
      <c r="J26" s="13"/>
      <c r="K26" s="13"/>
      <c r="L26" s="13"/>
      <c r="M26" s="13"/>
      <c r="N26" s="10"/>
    </row>
    <row r="27" spans="1:14" x14ac:dyDescent="0.3">
      <c r="A27" s="1"/>
      <c r="D27" s="11"/>
      <c r="I27" s="9"/>
      <c r="J27" s="13"/>
      <c r="K27" s="13"/>
      <c r="L27" s="13"/>
      <c r="M27" s="13"/>
      <c r="N27" s="10"/>
    </row>
    <row r="28" spans="1:14" x14ac:dyDescent="0.3">
      <c r="I28" s="9"/>
      <c r="J28" s="13"/>
      <c r="K28" s="13"/>
      <c r="L28" s="13"/>
      <c r="M28" s="13"/>
      <c r="N28" s="10"/>
    </row>
    <row r="29" spans="1:14" x14ac:dyDescent="0.3">
      <c r="A29" s="3" t="s">
        <v>5</v>
      </c>
      <c r="B29" s="14">
        <f>D18+D20+G23+F24+F25+G26</f>
        <v>59.1875</v>
      </c>
      <c r="C29" s="15"/>
      <c r="D29" s="3" t="s">
        <v>4</v>
      </c>
      <c r="I29" s="6"/>
      <c r="J29" s="6"/>
      <c r="K29" s="6"/>
      <c r="L29" s="6"/>
      <c r="M29" s="6"/>
      <c r="N29" s="6"/>
    </row>
  </sheetData>
  <mergeCells count="15">
    <mergeCell ref="J28:M28"/>
    <mergeCell ref="B29:C29"/>
    <mergeCell ref="J15:M15"/>
    <mergeCell ref="J16:M16"/>
    <mergeCell ref="J17:M17"/>
    <mergeCell ref="J18:M18"/>
    <mergeCell ref="J24:M24"/>
    <mergeCell ref="J25:M25"/>
    <mergeCell ref="J26:M26"/>
    <mergeCell ref="J27:M27"/>
    <mergeCell ref="J19:M19"/>
    <mergeCell ref="J20:M20"/>
    <mergeCell ref="J21:M21"/>
    <mergeCell ref="J23:M23"/>
    <mergeCell ref="J22:M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workbookViewId="0">
      <selection activeCell="E26" sqref="E26"/>
    </sheetView>
  </sheetViews>
  <sheetFormatPr defaultRowHeight="18.75" x14ac:dyDescent="0.3"/>
  <cols>
    <col min="1" max="1" width="9.140625" style="3"/>
    <col min="2" max="2" width="9.140625" style="3" customWidth="1"/>
    <col min="3" max="3" width="12.85546875" style="3" customWidth="1"/>
    <col min="4" max="4" width="10.42578125" style="3" customWidth="1"/>
    <col min="5" max="5" width="9.140625" style="3"/>
    <col min="6" max="6" width="11.7109375" style="3" customWidth="1"/>
    <col min="7" max="7" width="9.140625" style="3"/>
    <col min="8" max="8" width="13.28515625" style="3" customWidth="1"/>
    <col min="9" max="9" width="7" style="3" customWidth="1"/>
    <col min="10" max="10" width="9.140625" style="3"/>
    <col min="11" max="11" width="12.140625" style="3" customWidth="1"/>
    <col min="12" max="12" width="9.140625" style="3"/>
    <col min="13" max="13" width="18.42578125" style="3" customWidth="1"/>
    <col min="14" max="14" width="16.140625" style="3" customWidth="1"/>
    <col min="15" max="15" width="13.28515625" style="3" customWidth="1"/>
  </cols>
  <sheetData>
    <row r="1" spans="1:14" x14ac:dyDescent="0.3">
      <c r="E1" s="1" t="s">
        <v>1</v>
      </c>
      <c r="M1" s="1" t="s">
        <v>1</v>
      </c>
    </row>
    <row r="2" spans="1:14" x14ac:dyDescent="0.3">
      <c r="E2" s="1" t="s">
        <v>2</v>
      </c>
      <c r="M2" s="1" t="s">
        <v>2</v>
      </c>
    </row>
    <row r="3" spans="1:14" ht="37.5" customHeight="1" x14ac:dyDescent="0.3">
      <c r="E3" s="2" t="s">
        <v>3</v>
      </c>
      <c r="M3" s="2" t="s">
        <v>3</v>
      </c>
    </row>
    <row r="4" spans="1:14" x14ac:dyDescent="0.3">
      <c r="E4" s="3" t="s">
        <v>23</v>
      </c>
      <c r="M4" s="3" t="s">
        <v>23</v>
      </c>
    </row>
    <row r="10" spans="1:14" x14ac:dyDescent="0.3">
      <c r="A10" s="1" t="s">
        <v>20</v>
      </c>
      <c r="J10" s="3" t="s">
        <v>21</v>
      </c>
    </row>
    <row r="11" spans="1:14" x14ac:dyDescent="0.3">
      <c r="J11" s="3" t="s">
        <v>24</v>
      </c>
    </row>
    <row r="12" spans="1:14" x14ac:dyDescent="0.3">
      <c r="A12" s="2" t="s">
        <v>35</v>
      </c>
      <c r="F12" s="5">
        <v>152.81</v>
      </c>
      <c r="G12" s="3" t="s">
        <v>4</v>
      </c>
    </row>
    <row r="13" spans="1:14" x14ac:dyDescent="0.3">
      <c r="A13" s="2" t="s">
        <v>6</v>
      </c>
      <c r="F13" s="6"/>
    </row>
    <row r="15" spans="1:14" x14ac:dyDescent="0.3">
      <c r="A15" s="2" t="s">
        <v>14</v>
      </c>
      <c r="I15" s="7" t="s">
        <v>7</v>
      </c>
      <c r="J15" s="16" t="s">
        <v>8</v>
      </c>
      <c r="K15" s="17"/>
      <c r="L15" s="17"/>
      <c r="M15" s="18"/>
      <c r="N15" s="7" t="s">
        <v>9</v>
      </c>
    </row>
    <row r="16" spans="1:14" x14ac:dyDescent="0.3">
      <c r="A16" s="2" t="s">
        <v>43</v>
      </c>
      <c r="G16" s="11"/>
      <c r="I16" s="7">
        <v>1</v>
      </c>
      <c r="J16" s="19" t="s">
        <v>10</v>
      </c>
      <c r="K16" s="20"/>
      <c r="L16" s="20"/>
      <c r="M16" s="21"/>
      <c r="N16" s="8">
        <f>F12</f>
        <v>152.81</v>
      </c>
    </row>
    <row r="17" spans="1:14" x14ac:dyDescent="0.3">
      <c r="A17" s="1" t="s">
        <v>38</v>
      </c>
      <c r="I17" s="7">
        <v>2</v>
      </c>
      <c r="J17" s="19" t="s">
        <v>11</v>
      </c>
      <c r="K17" s="20"/>
      <c r="L17" s="20"/>
      <c r="M17" s="21"/>
      <c r="N17" s="8">
        <f>N16*30.5%</f>
        <v>46.607050000000001</v>
      </c>
    </row>
    <row r="18" spans="1:14" x14ac:dyDescent="0.3">
      <c r="A18" s="1" t="s">
        <v>56</v>
      </c>
      <c r="D18" s="25">
        <f>0.03*400</f>
        <v>12</v>
      </c>
      <c r="E18" s="3" t="s">
        <v>4</v>
      </c>
      <c r="I18" s="7">
        <v>3</v>
      </c>
      <c r="J18" s="19" t="s">
        <v>12</v>
      </c>
      <c r="K18" s="20"/>
      <c r="L18" s="20"/>
      <c r="M18" s="21"/>
      <c r="N18" s="8">
        <f>B28</f>
        <v>76.635416666666657</v>
      </c>
    </row>
    <row r="19" spans="1:14" x14ac:dyDescent="0.3">
      <c r="A19" s="1" t="s">
        <v>39</v>
      </c>
      <c r="I19" s="7">
        <v>4</v>
      </c>
      <c r="J19" s="19" t="s">
        <v>5</v>
      </c>
      <c r="K19" s="20"/>
      <c r="L19" s="20"/>
      <c r="M19" s="21"/>
      <c r="N19" s="8">
        <f>SUM(N16:N18)</f>
        <v>276.05246666666665</v>
      </c>
    </row>
    <row r="20" spans="1:14" x14ac:dyDescent="0.3">
      <c r="A20" s="1" t="s">
        <v>57</v>
      </c>
      <c r="D20" s="25">
        <f>0.12*250</f>
        <v>30</v>
      </c>
      <c r="E20" s="3" t="s">
        <v>4</v>
      </c>
      <c r="I20" s="7">
        <v>5</v>
      </c>
      <c r="J20" s="19" t="s">
        <v>17</v>
      </c>
      <c r="K20" s="20"/>
      <c r="L20" s="20"/>
      <c r="M20" s="21"/>
      <c r="N20" s="8">
        <f>SUM(N19*15%)</f>
        <v>41.407869999999996</v>
      </c>
    </row>
    <row r="21" spans="1:14" x14ac:dyDescent="0.3">
      <c r="I21" s="7">
        <v>6</v>
      </c>
      <c r="J21" s="19" t="s">
        <v>50</v>
      </c>
      <c r="K21" s="20"/>
      <c r="L21" s="20"/>
      <c r="M21" s="21"/>
      <c r="N21" s="8">
        <f>SUM(N19*35%)</f>
        <v>96.61836333333332</v>
      </c>
    </row>
    <row r="22" spans="1:14" x14ac:dyDescent="0.3">
      <c r="A22" s="1" t="s">
        <v>46</v>
      </c>
      <c r="D22" s="11"/>
      <c r="I22" s="7">
        <v>7</v>
      </c>
      <c r="J22" s="19" t="s">
        <v>18</v>
      </c>
      <c r="K22" s="20"/>
      <c r="L22" s="20"/>
      <c r="M22" s="21"/>
      <c r="N22" s="8">
        <f>SUM(N19*10%)</f>
        <v>27.605246666666666</v>
      </c>
    </row>
    <row r="23" spans="1:14" x14ac:dyDescent="0.3">
      <c r="A23" s="1" t="s">
        <v>62</v>
      </c>
      <c r="D23" s="11"/>
      <c r="E23" s="11"/>
      <c r="F23" s="11"/>
      <c r="G23" s="4">
        <f>60000/12/20/8</f>
        <v>31.25</v>
      </c>
      <c r="I23" s="7">
        <v>8</v>
      </c>
      <c r="J23" s="19" t="s">
        <v>19</v>
      </c>
      <c r="K23" s="20"/>
      <c r="L23" s="20"/>
      <c r="M23" s="21"/>
      <c r="N23" s="8">
        <f>SUM(N19*10%)</f>
        <v>27.605246666666666</v>
      </c>
    </row>
    <row r="24" spans="1:14" x14ac:dyDescent="0.3">
      <c r="A24" s="1" t="s">
        <v>49</v>
      </c>
      <c r="D24" s="11"/>
      <c r="E24" s="11"/>
      <c r="F24" s="4">
        <f>2000/12/20/8</f>
        <v>1.0416666666666665</v>
      </c>
      <c r="G24" s="6"/>
      <c r="I24" s="7"/>
      <c r="J24" s="22" t="s">
        <v>13</v>
      </c>
      <c r="K24" s="22"/>
      <c r="L24" s="22"/>
      <c r="M24" s="22"/>
      <c r="N24" s="8">
        <f>SUM(N19:N23)</f>
        <v>469.28919333333334</v>
      </c>
    </row>
    <row r="25" spans="1:14" x14ac:dyDescent="0.3">
      <c r="A25" s="1" t="s">
        <v>55</v>
      </c>
      <c r="D25" s="11"/>
      <c r="E25" s="11"/>
      <c r="F25" s="4">
        <f>900*5/12/20/8</f>
        <v>2.34375</v>
      </c>
    </row>
    <row r="28" spans="1:14" x14ac:dyDescent="0.3">
      <c r="A28" s="3" t="s">
        <v>5</v>
      </c>
      <c r="B28" s="14">
        <f>D18+D20+F24+F25+G23</f>
        <v>76.635416666666657</v>
      </c>
      <c r="C28" s="15"/>
      <c r="D28" s="3" t="s">
        <v>4</v>
      </c>
    </row>
  </sheetData>
  <mergeCells count="11">
    <mergeCell ref="J24:M24"/>
    <mergeCell ref="J21:M21"/>
    <mergeCell ref="B28:C28"/>
    <mergeCell ref="J22:M22"/>
    <mergeCell ref="J23:M23"/>
    <mergeCell ref="J20:M20"/>
    <mergeCell ref="J15:M15"/>
    <mergeCell ref="J16:M16"/>
    <mergeCell ref="J17:M17"/>
    <mergeCell ref="J18:M18"/>
    <mergeCell ref="J19:M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F19" sqref="F19"/>
    </sheetView>
  </sheetViews>
  <sheetFormatPr defaultRowHeight="18.75" x14ac:dyDescent="0.3"/>
  <cols>
    <col min="1" max="1" width="9.140625" style="3"/>
    <col min="2" max="2" width="9.140625" style="3" customWidth="1"/>
    <col min="3" max="3" width="12.85546875" style="3" customWidth="1"/>
    <col min="4" max="4" width="10.42578125" style="3" customWidth="1"/>
    <col min="5" max="5" width="12.5703125" style="3" customWidth="1"/>
    <col min="6" max="6" width="11.7109375" style="3" customWidth="1"/>
    <col min="7" max="7" width="9.140625" style="3"/>
    <col min="8" max="8" width="13.28515625" style="3" customWidth="1"/>
    <col min="9" max="9" width="7" style="3" customWidth="1"/>
    <col min="10" max="10" width="9.140625" style="3"/>
    <col min="11" max="11" width="12.140625" style="3" customWidth="1"/>
    <col min="12" max="12" width="9.140625" style="3"/>
    <col min="13" max="13" width="22" style="3" customWidth="1"/>
    <col min="14" max="14" width="16.140625" style="3" customWidth="1"/>
    <col min="15" max="15" width="13.28515625" style="3" customWidth="1"/>
  </cols>
  <sheetData>
    <row r="1" spans="1:14" x14ac:dyDescent="0.3">
      <c r="E1" s="1" t="s">
        <v>1</v>
      </c>
      <c r="M1" s="1" t="s">
        <v>1</v>
      </c>
    </row>
    <row r="2" spans="1:14" x14ac:dyDescent="0.3">
      <c r="E2" s="1" t="s">
        <v>2</v>
      </c>
      <c r="M2" s="1" t="s">
        <v>2</v>
      </c>
    </row>
    <row r="3" spans="1:14" ht="39" customHeight="1" x14ac:dyDescent="0.3">
      <c r="E3" s="2" t="s">
        <v>3</v>
      </c>
      <c r="M3" s="2" t="s">
        <v>3</v>
      </c>
    </row>
    <row r="4" spans="1:14" x14ac:dyDescent="0.3">
      <c r="E4" s="3" t="s">
        <v>23</v>
      </c>
      <c r="M4" s="3" t="s">
        <v>23</v>
      </c>
    </row>
    <row r="10" spans="1:14" x14ac:dyDescent="0.3">
      <c r="A10" s="1" t="s">
        <v>20</v>
      </c>
      <c r="J10" s="3" t="s">
        <v>21</v>
      </c>
    </row>
    <row r="11" spans="1:14" x14ac:dyDescent="0.3">
      <c r="J11" s="3" t="s">
        <v>25</v>
      </c>
    </row>
    <row r="12" spans="1:14" x14ac:dyDescent="0.3">
      <c r="A12" s="2" t="s">
        <v>34</v>
      </c>
      <c r="F12" s="4">
        <f>16042.95/20/8</f>
        <v>100.2684375</v>
      </c>
      <c r="G12" s="3" t="s">
        <v>4</v>
      </c>
    </row>
    <row r="13" spans="1:14" x14ac:dyDescent="0.3">
      <c r="A13" s="2" t="s">
        <v>26</v>
      </c>
      <c r="F13" s="6"/>
    </row>
    <row r="15" spans="1:14" x14ac:dyDescent="0.3">
      <c r="A15" s="2" t="s">
        <v>47</v>
      </c>
      <c r="I15" s="7" t="s">
        <v>7</v>
      </c>
      <c r="J15" s="16" t="s">
        <v>8</v>
      </c>
      <c r="K15" s="17"/>
      <c r="L15" s="17"/>
      <c r="M15" s="18"/>
      <c r="N15" s="7" t="s">
        <v>9</v>
      </c>
    </row>
    <row r="16" spans="1:14" x14ac:dyDescent="0.3">
      <c r="A16" s="2" t="s">
        <v>40</v>
      </c>
      <c r="G16" s="11"/>
      <c r="I16" s="7">
        <v>1</v>
      </c>
      <c r="J16" s="19" t="s">
        <v>33</v>
      </c>
      <c r="K16" s="20"/>
      <c r="L16" s="20"/>
      <c r="M16" s="21"/>
      <c r="N16" s="8">
        <f>F12</f>
        <v>100.2684375</v>
      </c>
    </row>
    <row r="17" spans="1:14" x14ac:dyDescent="0.3">
      <c r="A17" s="1" t="s">
        <v>41</v>
      </c>
      <c r="I17" s="7">
        <v>2</v>
      </c>
      <c r="J17" s="19" t="s">
        <v>11</v>
      </c>
      <c r="K17" s="20"/>
      <c r="L17" s="20"/>
      <c r="M17" s="21"/>
      <c r="N17" s="8">
        <f>N16*30.5%</f>
        <v>30.581873437500001</v>
      </c>
    </row>
    <row r="18" spans="1:14" x14ac:dyDescent="0.3">
      <c r="A18" s="1" t="s">
        <v>63</v>
      </c>
      <c r="D18" s="25">
        <f>0.038*400</f>
        <v>15.2</v>
      </c>
      <c r="E18" s="3" t="s">
        <v>4</v>
      </c>
      <c r="I18" s="7">
        <v>3</v>
      </c>
      <c r="J18" s="19" t="s">
        <v>15</v>
      </c>
      <c r="K18" s="20"/>
      <c r="L18" s="20"/>
      <c r="M18" s="21"/>
      <c r="N18" s="8">
        <f>B25</f>
        <v>113.80416666666667</v>
      </c>
    </row>
    <row r="19" spans="1:14" x14ac:dyDescent="0.3">
      <c r="A19" s="1" t="s">
        <v>42</v>
      </c>
      <c r="I19" s="7">
        <v>4</v>
      </c>
      <c r="J19" s="19" t="s">
        <v>5</v>
      </c>
      <c r="K19" s="20"/>
      <c r="L19" s="20"/>
      <c r="M19" s="21"/>
      <c r="N19" s="8">
        <f>SUM(N16:N18)</f>
        <v>244.65447760416669</v>
      </c>
    </row>
    <row r="20" spans="1:14" x14ac:dyDescent="0.3">
      <c r="A20" s="1" t="s">
        <v>54</v>
      </c>
      <c r="D20" s="25">
        <f>0.32*300</f>
        <v>96</v>
      </c>
      <c r="E20" s="3" t="s">
        <v>4</v>
      </c>
      <c r="I20" s="7">
        <v>5</v>
      </c>
      <c r="J20" s="19" t="s">
        <v>17</v>
      </c>
      <c r="K20" s="20"/>
      <c r="L20" s="20"/>
      <c r="M20" s="21"/>
      <c r="N20" s="8">
        <f>SUM(N19*15%)</f>
        <v>36.698171640624999</v>
      </c>
    </row>
    <row r="21" spans="1:14" x14ac:dyDescent="0.3">
      <c r="A21" s="1"/>
      <c r="I21" s="7">
        <v>6</v>
      </c>
      <c r="J21" s="19" t="s">
        <v>18</v>
      </c>
      <c r="K21" s="20"/>
      <c r="L21" s="20"/>
      <c r="M21" s="21"/>
      <c r="N21" s="8">
        <f>SUM(N19*10%)</f>
        <v>24.465447760416669</v>
      </c>
    </row>
    <row r="22" spans="1:14" x14ac:dyDescent="0.3">
      <c r="A22" s="1" t="s">
        <v>44</v>
      </c>
      <c r="D22" s="11"/>
      <c r="I22" s="7">
        <v>7</v>
      </c>
      <c r="J22" s="19" t="s">
        <v>19</v>
      </c>
      <c r="K22" s="20"/>
      <c r="L22" s="20"/>
      <c r="M22" s="21"/>
      <c r="N22" s="8">
        <f>SUM(N19*10%)</f>
        <v>24.465447760416669</v>
      </c>
    </row>
    <row r="23" spans="1:14" x14ac:dyDescent="0.3">
      <c r="A23" s="1" t="s">
        <v>45</v>
      </c>
      <c r="D23" s="11"/>
      <c r="E23" s="4">
        <f>5000/12/20/8</f>
        <v>2.604166666666667</v>
      </c>
      <c r="I23" s="7"/>
      <c r="J23" s="22" t="s">
        <v>13</v>
      </c>
      <c r="K23" s="22"/>
      <c r="L23" s="22"/>
      <c r="M23" s="22"/>
      <c r="N23" s="8">
        <f>SUM(N19:N22)</f>
        <v>330.28354476562504</v>
      </c>
    </row>
    <row r="24" spans="1:14" x14ac:dyDescent="0.3">
      <c r="A24" s="1"/>
      <c r="D24" s="11"/>
      <c r="E24" s="11"/>
      <c r="I24" s="6"/>
      <c r="J24" s="6"/>
      <c r="K24" s="6"/>
      <c r="L24" s="6"/>
      <c r="M24" s="6"/>
      <c r="N24" s="6"/>
    </row>
    <row r="25" spans="1:14" x14ac:dyDescent="0.3">
      <c r="A25" s="3" t="s">
        <v>5</v>
      </c>
      <c r="B25" s="14">
        <f>D18+D20+E23</f>
        <v>113.80416666666667</v>
      </c>
      <c r="C25" s="15"/>
      <c r="D25" s="3" t="s">
        <v>4</v>
      </c>
    </row>
  </sheetData>
  <mergeCells count="10">
    <mergeCell ref="J21:M21"/>
    <mergeCell ref="B25:C25"/>
    <mergeCell ref="J22:M22"/>
    <mergeCell ref="J23:M23"/>
    <mergeCell ref="J19:M19"/>
    <mergeCell ref="J15:M15"/>
    <mergeCell ref="J16:M16"/>
    <mergeCell ref="J17:M17"/>
    <mergeCell ref="J18:M18"/>
    <mergeCell ref="J20:M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8" workbookViewId="0">
      <selection activeCell="B27" sqref="B27"/>
    </sheetView>
  </sheetViews>
  <sheetFormatPr defaultRowHeight="18.75" x14ac:dyDescent="0.3"/>
  <cols>
    <col min="1" max="1" width="9.140625" style="3"/>
    <col min="2" max="2" width="9.140625" style="3" customWidth="1"/>
    <col min="3" max="3" width="12.85546875" style="3" customWidth="1"/>
    <col min="4" max="4" width="10.42578125" style="3" customWidth="1"/>
    <col min="5" max="5" width="12.5703125" style="3" customWidth="1"/>
    <col min="6" max="6" width="11.7109375" style="3" customWidth="1"/>
    <col min="7" max="7" width="9.140625" style="3"/>
    <col min="8" max="8" width="13.28515625" style="3" customWidth="1"/>
    <col min="9" max="9" width="7" style="3" customWidth="1"/>
    <col min="10" max="10" width="9.140625" style="3"/>
    <col min="11" max="11" width="12.140625" style="3" customWidth="1"/>
    <col min="12" max="12" width="9.140625" style="3"/>
    <col min="13" max="13" width="22" style="3" customWidth="1"/>
    <col min="14" max="14" width="16.140625" style="3" customWidth="1"/>
    <col min="15" max="15" width="13.28515625" style="3" customWidth="1"/>
  </cols>
  <sheetData>
    <row r="1" spans="1:14" x14ac:dyDescent="0.3">
      <c r="E1" s="1" t="s">
        <v>1</v>
      </c>
      <c r="M1" s="1" t="s">
        <v>1</v>
      </c>
    </row>
    <row r="2" spans="1:14" x14ac:dyDescent="0.3">
      <c r="E2" s="1" t="s">
        <v>2</v>
      </c>
      <c r="M2" s="1" t="s">
        <v>2</v>
      </c>
    </row>
    <row r="3" spans="1:14" ht="37.5" customHeight="1" x14ac:dyDescent="0.3">
      <c r="E3" s="2" t="s">
        <v>3</v>
      </c>
      <c r="M3" s="2" t="s">
        <v>3</v>
      </c>
    </row>
    <row r="4" spans="1:14" x14ac:dyDescent="0.3">
      <c r="E4" s="3" t="s">
        <v>23</v>
      </c>
      <c r="M4" s="3" t="s">
        <v>23</v>
      </c>
    </row>
    <row r="10" spans="1:14" x14ac:dyDescent="0.3">
      <c r="A10" s="1" t="s">
        <v>16</v>
      </c>
      <c r="J10" s="3" t="s">
        <v>21</v>
      </c>
    </row>
    <row r="11" spans="1:14" x14ac:dyDescent="0.3">
      <c r="A11" s="3" t="s">
        <v>27</v>
      </c>
      <c r="J11" s="3" t="s">
        <v>28</v>
      </c>
    </row>
    <row r="13" spans="1:14" x14ac:dyDescent="0.3">
      <c r="A13" s="2" t="s">
        <v>34</v>
      </c>
      <c r="F13" s="4">
        <f>16042.95/20/8</f>
        <v>100.2684375</v>
      </c>
      <c r="G13" s="3" t="s">
        <v>4</v>
      </c>
    </row>
    <row r="14" spans="1:14" x14ac:dyDescent="0.3">
      <c r="A14" s="2" t="s">
        <v>26</v>
      </c>
      <c r="F14" s="6"/>
    </row>
    <row r="15" spans="1:14" x14ac:dyDescent="0.3">
      <c r="I15" s="7" t="s">
        <v>7</v>
      </c>
      <c r="J15" s="16" t="s">
        <v>8</v>
      </c>
      <c r="K15" s="17"/>
      <c r="L15" s="17"/>
      <c r="M15" s="18"/>
      <c r="N15" s="7" t="s">
        <v>9</v>
      </c>
    </row>
    <row r="16" spans="1:14" x14ac:dyDescent="0.3">
      <c r="A16" s="2" t="s">
        <v>48</v>
      </c>
      <c r="I16" s="7">
        <v>1</v>
      </c>
      <c r="J16" s="19" t="s">
        <v>33</v>
      </c>
      <c r="K16" s="20"/>
      <c r="L16" s="20"/>
      <c r="M16" s="21"/>
      <c r="N16" s="8">
        <f>F13</f>
        <v>100.2684375</v>
      </c>
    </row>
    <row r="17" spans="1:14" x14ac:dyDescent="0.3">
      <c r="A17" s="2" t="s">
        <v>51</v>
      </c>
      <c r="G17" s="11"/>
      <c r="I17" s="7">
        <v>2</v>
      </c>
      <c r="J17" s="19" t="s">
        <v>11</v>
      </c>
      <c r="K17" s="20"/>
      <c r="L17" s="20"/>
      <c r="M17" s="21"/>
      <c r="N17" s="8">
        <f>N16*30.5%</f>
        <v>30.581873437500001</v>
      </c>
    </row>
    <row r="18" spans="1:14" x14ac:dyDescent="0.3">
      <c r="A18" s="1" t="s">
        <v>29</v>
      </c>
      <c r="I18" s="7">
        <v>3</v>
      </c>
      <c r="J18" s="19" t="s">
        <v>15</v>
      </c>
      <c r="K18" s="20"/>
      <c r="L18" s="20"/>
      <c r="M18" s="21"/>
      <c r="N18" s="8">
        <f>B26</f>
        <v>49.458333333333329</v>
      </c>
    </row>
    <row r="19" spans="1:14" ht="19.5" customHeight="1" x14ac:dyDescent="0.3">
      <c r="A19" s="1" t="s">
        <v>64</v>
      </c>
      <c r="D19" s="27">
        <f>0.05*400</f>
        <v>20</v>
      </c>
      <c r="E19" s="3" t="s">
        <v>4</v>
      </c>
      <c r="I19" s="7">
        <v>4</v>
      </c>
      <c r="J19" s="19" t="s">
        <v>5</v>
      </c>
      <c r="K19" s="20"/>
      <c r="L19" s="20"/>
      <c r="M19" s="21"/>
      <c r="N19" s="8">
        <f>SUM(N16:N18)</f>
        <v>180.30864427083333</v>
      </c>
    </row>
    <row r="20" spans="1:14" x14ac:dyDescent="0.3">
      <c r="A20" s="1" t="s">
        <v>30</v>
      </c>
      <c r="I20" s="7">
        <v>5</v>
      </c>
      <c r="J20" s="19" t="s">
        <v>17</v>
      </c>
      <c r="K20" s="20"/>
      <c r="L20" s="20"/>
      <c r="M20" s="21"/>
      <c r="N20" s="8">
        <f>SUM(N19*15%)</f>
        <v>27.046296640624998</v>
      </c>
    </row>
    <row r="21" spans="1:14" x14ac:dyDescent="0.3">
      <c r="A21" s="1" t="s">
        <v>52</v>
      </c>
      <c r="D21" s="4">
        <f>1*18</f>
        <v>18</v>
      </c>
      <c r="E21" s="3" t="s">
        <v>4</v>
      </c>
      <c r="I21" s="7">
        <v>6</v>
      </c>
      <c r="J21" s="19" t="s">
        <v>18</v>
      </c>
      <c r="K21" s="20"/>
      <c r="L21" s="20"/>
      <c r="M21" s="21"/>
      <c r="N21" s="8">
        <f>SUM(N19*10%)</f>
        <v>18.030864427083333</v>
      </c>
    </row>
    <row r="22" spans="1:14" x14ac:dyDescent="0.3">
      <c r="A22" s="1"/>
      <c r="D22" s="11"/>
      <c r="I22" s="7">
        <v>7</v>
      </c>
      <c r="J22" s="19" t="s">
        <v>19</v>
      </c>
      <c r="K22" s="20"/>
      <c r="L22" s="20"/>
      <c r="M22" s="21"/>
      <c r="N22" s="8">
        <f>SUM(N19*10%)</f>
        <v>18.030864427083333</v>
      </c>
    </row>
    <row r="23" spans="1:14" x14ac:dyDescent="0.3">
      <c r="A23" s="1" t="s">
        <v>44</v>
      </c>
      <c r="D23" s="11"/>
      <c r="I23" s="7"/>
      <c r="J23" s="22" t="s">
        <v>13</v>
      </c>
      <c r="K23" s="22"/>
      <c r="L23" s="22"/>
      <c r="M23" s="22"/>
      <c r="N23" s="8">
        <f>SUM(N19:N22)</f>
        <v>243.41666976562502</v>
      </c>
    </row>
    <row r="24" spans="1:14" x14ac:dyDescent="0.3">
      <c r="A24" s="1" t="s">
        <v>53</v>
      </c>
      <c r="D24" s="11"/>
      <c r="E24" s="4">
        <f>22000/12/20/8</f>
        <v>11.458333333333332</v>
      </c>
      <c r="F24" s="3" t="s">
        <v>4</v>
      </c>
      <c r="I24" s="6"/>
      <c r="J24" s="6"/>
      <c r="K24" s="6"/>
      <c r="L24" s="6"/>
      <c r="M24" s="6"/>
      <c r="N24" s="6"/>
    </row>
    <row r="26" spans="1:14" x14ac:dyDescent="0.3">
      <c r="A26" s="3" t="s">
        <v>5</v>
      </c>
      <c r="B26" s="14">
        <f>D19+D21+E24</f>
        <v>49.458333333333329</v>
      </c>
      <c r="C26" s="15"/>
      <c r="D26" s="3" t="s">
        <v>4</v>
      </c>
    </row>
  </sheetData>
  <mergeCells count="10">
    <mergeCell ref="B26:C26"/>
    <mergeCell ref="J20:M20"/>
    <mergeCell ref="J21:M21"/>
    <mergeCell ref="J22:M22"/>
    <mergeCell ref="J23:M23"/>
    <mergeCell ref="J15:M15"/>
    <mergeCell ref="J16:M16"/>
    <mergeCell ref="J17:M17"/>
    <mergeCell ref="J18:M18"/>
    <mergeCell ref="J19:M1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0" workbookViewId="0">
      <selection activeCell="I23" sqref="I23:N23"/>
    </sheetView>
  </sheetViews>
  <sheetFormatPr defaultRowHeight="18.75" x14ac:dyDescent="0.3"/>
  <cols>
    <col min="1" max="1" width="9.140625" style="3"/>
    <col min="2" max="2" width="9.140625" style="3" customWidth="1"/>
    <col min="3" max="3" width="12.85546875" style="3" customWidth="1"/>
    <col min="4" max="4" width="10.42578125" style="3" customWidth="1"/>
    <col min="5" max="5" width="12.5703125" style="3" customWidth="1"/>
    <col min="6" max="6" width="11.7109375" style="3" customWidth="1"/>
    <col min="7" max="7" width="9.140625" style="3"/>
    <col min="8" max="8" width="13.28515625" style="3" customWidth="1"/>
    <col min="9" max="9" width="7" style="3" customWidth="1"/>
    <col min="10" max="10" width="9.140625" style="3"/>
    <col min="11" max="11" width="12.140625" style="3" customWidth="1"/>
    <col min="12" max="12" width="9.140625" style="3"/>
    <col min="13" max="13" width="22" style="3" customWidth="1"/>
    <col min="14" max="14" width="16.140625" style="3" customWidth="1"/>
  </cols>
  <sheetData>
    <row r="1" spans="1:14" x14ac:dyDescent="0.3">
      <c r="E1" s="1" t="s">
        <v>1</v>
      </c>
      <c r="M1" s="1" t="s">
        <v>1</v>
      </c>
    </row>
    <row r="2" spans="1:14" x14ac:dyDescent="0.3">
      <c r="E2" s="1" t="s">
        <v>2</v>
      </c>
      <c r="M2" s="1" t="s">
        <v>2</v>
      </c>
    </row>
    <row r="3" spans="1:14" x14ac:dyDescent="0.3">
      <c r="E3" s="2" t="s">
        <v>3</v>
      </c>
      <c r="M3" s="2" t="s">
        <v>3</v>
      </c>
    </row>
    <row r="4" spans="1:14" x14ac:dyDescent="0.3">
      <c r="E4" s="3" t="s">
        <v>23</v>
      </c>
      <c r="M4" s="3" t="s">
        <v>23</v>
      </c>
    </row>
    <row r="10" spans="1:14" x14ac:dyDescent="0.3">
      <c r="A10" s="1" t="s">
        <v>31</v>
      </c>
      <c r="J10" s="3" t="s">
        <v>21</v>
      </c>
    </row>
    <row r="11" spans="1:14" x14ac:dyDescent="0.3">
      <c r="A11" s="3" t="s">
        <v>27</v>
      </c>
      <c r="J11" s="3" t="s">
        <v>32</v>
      </c>
    </row>
    <row r="13" spans="1:14" x14ac:dyDescent="0.3">
      <c r="A13" s="2" t="s">
        <v>34</v>
      </c>
      <c r="F13" s="4">
        <f>16042.95/20/8</f>
        <v>100.2684375</v>
      </c>
      <c r="G13" s="3" t="s">
        <v>4</v>
      </c>
    </row>
    <row r="14" spans="1:14" x14ac:dyDescent="0.3">
      <c r="A14" s="2" t="s">
        <v>26</v>
      </c>
      <c r="F14" s="6"/>
    </row>
    <row r="15" spans="1:14" x14ac:dyDescent="0.3">
      <c r="I15" s="7" t="s">
        <v>7</v>
      </c>
      <c r="J15" s="16" t="s">
        <v>8</v>
      </c>
      <c r="K15" s="17"/>
      <c r="L15" s="17"/>
      <c r="M15" s="18"/>
      <c r="N15" s="7" t="s">
        <v>9</v>
      </c>
    </row>
    <row r="16" spans="1:14" x14ac:dyDescent="0.3">
      <c r="A16" s="2"/>
      <c r="I16" s="7">
        <v>1</v>
      </c>
      <c r="J16" s="19" t="s">
        <v>33</v>
      </c>
      <c r="K16" s="20"/>
      <c r="L16" s="20"/>
      <c r="M16" s="21"/>
      <c r="N16" s="8">
        <f>F13</f>
        <v>100.2684375</v>
      </c>
    </row>
    <row r="17" spans="1:14" x14ac:dyDescent="0.3">
      <c r="A17" s="2"/>
      <c r="G17" s="11"/>
      <c r="I17" s="7">
        <v>2</v>
      </c>
      <c r="J17" s="19" t="s">
        <v>11</v>
      </c>
      <c r="K17" s="20"/>
      <c r="L17" s="20"/>
      <c r="M17" s="21"/>
      <c r="N17" s="8">
        <f>N16*30.5%</f>
        <v>30.581873437500001</v>
      </c>
    </row>
    <row r="18" spans="1:14" x14ac:dyDescent="0.3">
      <c r="A18" s="1"/>
      <c r="I18" s="7">
        <v>3</v>
      </c>
      <c r="J18" s="19" t="s">
        <v>5</v>
      </c>
      <c r="K18" s="20"/>
      <c r="L18" s="20"/>
      <c r="M18" s="21"/>
      <c r="N18" s="8">
        <f>SUM(N16:N17)</f>
        <v>130.85031093750001</v>
      </c>
    </row>
    <row r="19" spans="1:14" x14ac:dyDescent="0.3">
      <c r="A19" s="12"/>
      <c r="B19" s="6"/>
      <c r="C19" s="6"/>
      <c r="D19" s="6"/>
      <c r="E19" s="6"/>
      <c r="I19" s="7">
        <v>4</v>
      </c>
      <c r="J19" s="19" t="s">
        <v>17</v>
      </c>
      <c r="K19" s="20"/>
      <c r="L19" s="20"/>
      <c r="M19" s="21"/>
      <c r="N19" s="8">
        <f>SUM(N18*15%)</f>
        <v>19.627546640625003</v>
      </c>
    </row>
    <row r="20" spans="1:14" x14ac:dyDescent="0.3">
      <c r="A20" s="12"/>
      <c r="B20" s="6"/>
      <c r="C20" s="6"/>
      <c r="D20" s="6"/>
      <c r="E20" s="6"/>
      <c r="I20" s="7">
        <v>5</v>
      </c>
      <c r="J20" s="19" t="s">
        <v>18</v>
      </c>
      <c r="K20" s="20"/>
      <c r="L20" s="20"/>
      <c r="M20" s="21"/>
      <c r="N20" s="8">
        <f>SUM(N18*10%)</f>
        <v>13.085031093750002</v>
      </c>
    </row>
    <row r="21" spans="1:14" x14ac:dyDescent="0.3">
      <c r="A21" s="12"/>
      <c r="B21" s="6"/>
      <c r="C21" s="6"/>
      <c r="D21" s="11"/>
      <c r="E21" s="6"/>
      <c r="I21" s="7">
        <v>6</v>
      </c>
      <c r="J21" s="19" t="s">
        <v>19</v>
      </c>
      <c r="K21" s="20"/>
      <c r="L21" s="20"/>
      <c r="M21" s="21"/>
      <c r="N21" s="8">
        <f>SUM(N18*10%)</f>
        <v>13.085031093750002</v>
      </c>
    </row>
    <row r="22" spans="1:14" x14ac:dyDescent="0.3">
      <c r="A22" s="6"/>
      <c r="B22" s="6"/>
      <c r="C22" s="6"/>
      <c r="D22" s="6"/>
      <c r="E22" s="6"/>
      <c r="I22" s="7"/>
      <c r="J22" s="22" t="s">
        <v>13</v>
      </c>
      <c r="K22" s="22"/>
      <c r="L22" s="22"/>
      <c r="M22" s="22"/>
      <c r="N22" s="8">
        <f>SUM(N18:N21)</f>
        <v>176.64791976562501</v>
      </c>
    </row>
    <row r="23" spans="1:14" x14ac:dyDescent="0.3">
      <c r="A23" s="6"/>
      <c r="B23" s="23"/>
      <c r="C23" s="24"/>
      <c r="D23" s="6"/>
      <c r="E23" s="6"/>
      <c r="I23" s="6"/>
      <c r="J23" s="6"/>
      <c r="K23" s="6"/>
      <c r="L23" s="6"/>
      <c r="M23" s="6"/>
      <c r="N23" s="6"/>
    </row>
    <row r="24" spans="1:14" x14ac:dyDescent="0.3">
      <c r="A24" s="6"/>
      <c r="B24" s="6"/>
      <c r="C24" s="6"/>
      <c r="D24" s="6"/>
      <c r="E24" s="6"/>
    </row>
    <row r="25" spans="1:14" x14ac:dyDescent="0.3">
      <c r="A25" s="6"/>
      <c r="B25" s="6"/>
      <c r="C25" s="6"/>
      <c r="D25" s="6"/>
      <c r="E25" s="6"/>
    </row>
  </sheetData>
  <mergeCells count="9">
    <mergeCell ref="J20:M20"/>
    <mergeCell ref="J21:M21"/>
    <mergeCell ref="B23:C23"/>
    <mergeCell ref="J22:M22"/>
    <mergeCell ref="J15:M15"/>
    <mergeCell ref="J16:M16"/>
    <mergeCell ref="J17:M17"/>
    <mergeCell ref="J18:M18"/>
    <mergeCell ref="J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МТЗ</vt:lpstr>
      <vt:lpstr>ЮМЗ</vt:lpstr>
      <vt:lpstr>обрезка</vt:lpstr>
      <vt:lpstr>покос</vt:lpstr>
      <vt:lpstr>уборка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cp:lastPrinted>2022-07-10T20:54:38Z</cp:lastPrinted>
  <dcterms:created xsi:type="dcterms:W3CDTF">2022-07-10T19:45:42Z</dcterms:created>
  <dcterms:modified xsi:type="dcterms:W3CDTF">2022-08-15T10:11:14Z</dcterms:modified>
</cp:coreProperties>
</file>